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6" windowWidth="15480" windowHeight="11580" activeTab="0"/>
  </bookViews>
  <sheets>
    <sheet name="Instructions" sheetId="1" r:id="rId1"/>
    <sheet name="Updates" sheetId="2" r:id="rId2"/>
    <sheet name="Example" sheetId="3" r:id="rId3"/>
    <sheet name="Calculator" sheetId="4" r:id="rId4"/>
    <sheet name="TST Summary Sheet" sheetId="5" r:id="rId5"/>
    <sheet name="Statistics" sheetId="6" r:id="rId6"/>
    <sheet name="Formulas" sheetId="7" state="hidden" r:id="rId7"/>
  </sheets>
  <definedNames>
    <definedName name="OLE_LINK1" localSheetId="0">'Instructions'!$A$7</definedName>
  </definedNames>
  <calcPr fullCalcOnLoad="1"/>
</workbook>
</file>

<file path=xl/comments3.xml><?xml version="1.0" encoding="utf-8"?>
<comments xmlns="http://schemas.openxmlformats.org/spreadsheetml/2006/main">
  <authors>
    <author>jaime.gilliam</author>
  </authors>
  <commentList>
    <comment ref="B16" authorId="0">
      <text>
        <r>
          <rPr>
            <sz val="8"/>
            <rFont val="Tahoma"/>
            <family val="2"/>
          </rPr>
          <t>In this example, 10 fish were exposed in all 4 replicates of the control.  On the final day of testing, the final count was 10 fish for Replicate 1, 3, and 4, while the final count for Replicate 2 was 9.</t>
        </r>
      </text>
    </comment>
    <comment ref="S9" authorId="0">
      <text>
        <r>
          <rPr>
            <sz val="8"/>
            <rFont val="Tahoma"/>
            <family val="2"/>
          </rPr>
          <t>Highlighted cells indicate the result for your data set.</t>
        </r>
      </text>
    </comment>
    <comment ref="J19" authorId="0">
      <text>
        <r>
          <rPr>
            <sz val="8"/>
            <rFont val="Tahoma"/>
            <family val="2"/>
          </rPr>
          <t>The gray cells fill in automatically.</t>
        </r>
      </text>
    </comment>
  </commentList>
</comments>
</file>

<file path=xl/sharedStrings.xml><?xml version="1.0" encoding="utf-8"?>
<sst xmlns="http://schemas.openxmlformats.org/spreadsheetml/2006/main" count="310" uniqueCount="165">
  <si>
    <t>Control</t>
  </si>
  <si>
    <t>Effluent</t>
  </si>
  <si>
    <t>n</t>
  </si>
  <si>
    <t>Conduct WET Test</t>
  </si>
  <si>
    <t>↓</t>
  </si>
  <si>
    <t>YES</t>
  </si>
  <si>
    <t>NO</t>
  </si>
  <si>
    <t>Calculated t-value &gt; table t-value?</t>
  </si>
  <si>
    <t>"PASS"</t>
  </si>
  <si>
    <t>"FAIL"</t>
  </si>
  <si>
    <t>Statistic</t>
  </si>
  <si>
    <t>Chronic methods</t>
  </si>
  <si>
    <t>b=0.75</t>
  </si>
  <si>
    <t>b=0.8</t>
  </si>
  <si>
    <t>b=</t>
  </si>
  <si>
    <t>α=</t>
  </si>
  <si>
    <t>Calculated t-value=</t>
  </si>
  <si>
    <t>Table t-value=</t>
  </si>
  <si>
    <t>ν=</t>
  </si>
  <si>
    <t>Apply arcsine square root transformation for percent data</t>
  </si>
  <si>
    <t>Calculate t value using TST Welch’s test</t>
  </si>
  <si>
    <t>Arcsine SqRt Transformation</t>
  </si>
  <si>
    <t>Chronic or Acute?</t>
  </si>
  <si>
    <t>Chronic</t>
  </si>
  <si>
    <t>Acute</t>
  </si>
  <si>
    <t>Test Species?</t>
  </si>
  <si>
    <t>Percent Data?</t>
  </si>
  <si>
    <t>Endpoint?</t>
  </si>
  <si>
    <t>Survival</t>
  </si>
  <si>
    <t>Reproduction</t>
  </si>
  <si>
    <t>Growth</t>
  </si>
  <si>
    <t>Fertilization</t>
  </si>
  <si>
    <t>Germination</t>
  </si>
  <si>
    <t>Germ-Tube Length</t>
  </si>
  <si>
    <t>Larval Development</t>
  </si>
  <si>
    <t>For questions, please contact:</t>
  </si>
  <si>
    <t>Jaime Gilliam</t>
  </si>
  <si>
    <t>Tetra Tech, Inc.</t>
  </si>
  <si>
    <t>410-356-8993</t>
  </si>
  <si>
    <r>
      <t xml:space="preserve">Acute </t>
    </r>
    <r>
      <rPr>
        <b/>
        <sz val="10"/>
        <color indexed="8"/>
        <rFont val="Arial"/>
        <family val="2"/>
      </rPr>
      <t>method</t>
    </r>
  </si>
  <si>
    <t>α=0.1</t>
  </si>
  <si>
    <t>If no variance, then use the percent difference.  For chronic, a % difference &lt;25 is considered "Passing".  For acute, a % difference &lt;20 is "Passing".</t>
  </si>
  <si>
    <r>
      <t xml:space="preserve">for </t>
    </r>
    <r>
      <rPr>
        <i/>
        <sz val="10"/>
        <color indexed="8"/>
        <rFont val="Arial"/>
        <family val="2"/>
      </rPr>
      <t>C. dubia</t>
    </r>
  </si>
  <si>
    <t>α=0.25</t>
  </si>
  <si>
    <t>α=0.15</t>
  </si>
  <si>
    <t>α=0.05</t>
  </si>
  <si>
    <t>Percent</t>
  </si>
  <si>
    <t>Test ID</t>
  </si>
  <si>
    <t>Test Date</t>
  </si>
  <si>
    <t>Test Species</t>
  </si>
  <si>
    <t>Endpoint</t>
  </si>
  <si>
    <t>Chronic or Acute</t>
  </si>
  <si>
    <t>Calculated t-value</t>
  </si>
  <si>
    <t>Table t-value</t>
  </si>
  <si>
    <t>Percent Difference</t>
  </si>
  <si>
    <t>Pass or Fail</t>
  </si>
  <si>
    <t>Toxic or Non-toxic</t>
  </si>
  <si>
    <t>Test Duration</t>
  </si>
  <si>
    <t>PasteSpecial-Values</t>
  </si>
  <si>
    <t>PasteSpecial-Formulas</t>
  </si>
  <si>
    <t>Formulas on this page (in Row 1) are used to copy data from Calculator worksheet to the Statistics worksheet.</t>
  </si>
  <si>
    <t>Instructions</t>
  </si>
  <si>
    <t>Before using this program, Macros must be enabled and the security certificate must be accepted.</t>
  </si>
  <si>
    <t>1.</t>
  </si>
  <si>
    <t>2.</t>
  </si>
  <si>
    <t>3.</t>
  </si>
  <si>
    <t>4.</t>
  </si>
  <si>
    <t>5.</t>
  </si>
  <si>
    <t>Click the “Office Button” (big Office logo in the upper left), and select “Excel Options” (lower right)</t>
  </si>
  <si>
    <t>Click "Trust Center" on the left menu</t>
  </si>
  <si>
    <t>6.</t>
  </si>
  <si>
    <t>Click "Trust Center Settings" (lower right)</t>
  </si>
  <si>
    <t>Click "Macro Settings"</t>
  </si>
  <si>
    <t>Click "Enable all macros" (last option)</t>
  </si>
  <si>
    <t>Click "ok" buttons to clear all open windows</t>
  </si>
  <si>
    <t>7.</t>
  </si>
  <si>
    <t>For Excel pre-2007</t>
  </si>
  <si>
    <t>For Excel 2007</t>
  </si>
  <si>
    <t>Set Macro security to medium</t>
  </si>
  <si>
    <t>To use the program:</t>
  </si>
  <si>
    <t>Go to "Tools", "Macro", and Click "Security"</t>
  </si>
  <si>
    <t>Exit prgram and re-open file</t>
  </si>
  <si>
    <t>Click "Enable Macros"</t>
  </si>
  <si>
    <t>Exit program and re-open the file to use</t>
  </si>
  <si>
    <t>Response (Final Count, Weight, Length, etc.)</t>
  </si>
  <si>
    <t>Click to choose from menu</t>
  </si>
  <si>
    <r>
      <t xml:space="preserve">C. dubia </t>
    </r>
    <r>
      <rPr>
        <sz val="10"/>
        <color theme="1"/>
        <rFont val="Arial"/>
        <family val="2"/>
      </rPr>
      <t>(water flea)</t>
    </r>
  </si>
  <si>
    <r>
      <t xml:space="preserve">P. promelas </t>
    </r>
    <r>
      <rPr>
        <sz val="10"/>
        <color theme="1"/>
        <rFont val="Arial"/>
        <family val="2"/>
      </rPr>
      <t>(fathead minnow)</t>
    </r>
  </si>
  <si>
    <r>
      <t xml:space="preserve">S. capricornutum </t>
    </r>
    <r>
      <rPr>
        <sz val="10"/>
        <color theme="1"/>
        <rFont val="Arial"/>
        <family val="2"/>
      </rPr>
      <t>(green algae)</t>
    </r>
  </si>
  <si>
    <r>
      <t>A. bahia</t>
    </r>
    <r>
      <rPr>
        <sz val="10"/>
        <color theme="1"/>
        <rFont val="Arial"/>
        <family val="2"/>
      </rPr>
      <t xml:space="preserve"> (mysid shrimp)</t>
    </r>
  </si>
  <si>
    <r>
      <t xml:space="preserve">A. punctulata </t>
    </r>
    <r>
      <rPr>
        <sz val="10"/>
        <color theme="1"/>
        <rFont val="Arial"/>
        <family val="2"/>
      </rPr>
      <t>(echinoderm)</t>
    </r>
  </si>
  <si>
    <r>
      <t xml:space="preserve">C. variegatus </t>
    </r>
    <r>
      <rPr>
        <sz val="10"/>
        <color theme="1"/>
        <rFont val="Arial"/>
        <family val="2"/>
      </rPr>
      <t>(sheepshead minnow)</t>
    </r>
  </si>
  <si>
    <r>
      <t xml:space="preserve">M. berryllina </t>
    </r>
    <r>
      <rPr>
        <sz val="10"/>
        <color theme="1"/>
        <rFont val="Arial"/>
        <family val="2"/>
      </rPr>
      <t>(inland silverside)</t>
    </r>
  </si>
  <si>
    <r>
      <t xml:space="preserve">D. excentricus </t>
    </r>
    <r>
      <rPr>
        <sz val="10"/>
        <color theme="1"/>
        <rFont val="Arial"/>
        <family val="2"/>
      </rPr>
      <t>(echinoderm)</t>
    </r>
  </si>
  <si>
    <r>
      <t xml:space="preserve">S. purpuratus </t>
    </r>
    <r>
      <rPr>
        <sz val="10"/>
        <color theme="1"/>
        <rFont val="Arial"/>
        <family val="2"/>
      </rPr>
      <t>(echinoderm)</t>
    </r>
  </si>
  <si>
    <r>
      <t xml:space="preserve">A. affinis </t>
    </r>
    <r>
      <rPr>
        <sz val="10"/>
        <color theme="1"/>
        <rFont val="Arial"/>
        <family val="2"/>
      </rPr>
      <t>(topsmelt)</t>
    </r>
  </si>
  <si>
    <r>
      <t xml:space="preserve">H. rufescans </t>
    </r>
    <r>
      <rPr>
        <sz val="10"/>
        <color theme="1"/>
        <rFont val="Arial"/>
        <family val="2"/>
      </rPr>
      <t>(red abalone)</t>
    </r>
  </si>
  <si>
    <r>
      <t xml:space="preserve">Mytilus </t>
    </r>
    <r>
      <rPr>
        <sz val="10"/>
        <color theme="1"/>
        <rFont val="Arial"/>
        <family val="2"/>
      </rPr>
      <t>sp. (mussel)</t>
    </r>
  </si>
  <si>
    <r>
      <t xml:space="preserve">M. pyrifera </t>
    </r>
    <r>
      <rPr>
        <sz val="10"/>
        <color theme="1"/>
        <rFont val="Arial"/>
        <family val="2"/>
      </rPr>
      <t>(giant kelp)</t>
    </r>
  </si>
  <si>
    <r>
      <t xml:space="preserve">D. magna </t>
    </r>
    <r>
      <rPr>
        <sz val="10"/>
        <color theme="1"/>
        <rFont val="Arial"/>
        <family val="2"/>
      </rPr>
      <t>(water flea)</t>
    </r>
  </si>
  <si>
    <r>
      <t>D. pulex</t>
    </r>
    <r>
      <rPr>
        <sz val="10"/>
        <color theme="1"/>
        <rFont val="Arial"/>
        <family val="2"/>
      </rPr>
      <t xml:space="preserve"> (water flea)</t>
    </r>
  </si>
  <si>
    <r>
      <t xml:space="preserve">O. mykiss </t>
    </r>
    <r>
      <rPr>
        <sz val="10"/>
        <color theme="1"/>
        <rFont val="Arial"/>
        <family val="2"/>
      </rPr>
      <t>(rainbow trout)</t>
    </r>
  </si>
  <si>
    <r>
      <t xml:space="preserve">S. fontinalis </t>
    </r>
    <r>
      <rPr>
        <sz val="10"/>
        <color theme="1"/>
        <rFont val="Arial"/>
        <family val="2"/>
      </rPr>
      <t>(brook trout)</t>
    </r>
  </si>
  <si>
    <r>
      <t>C. gigas</t>
    </r>
    <r>
      <rPr>
        <sz val="10"/>
        <color theme="1"/>
        <rFont val="Arial"/>
        <family val="2"/>
      </rPr>
      <t xml:space="preserve"> (oyster)</t>
    </r>
  </si>
  <si>
    <r>
      <t>M. menidia</t>
    </r>
    <r>
      <rPr>
        <sz val="10"/>
        <color theme="1"/>
        <rFont val="Arial"/>
        <family val="2"/>
      </rPr>
      <t xml:space="preserve"> (atlantic silverside)</t>
    </r>
  </si>
  <si>
    <r>
      <t xml:space="preserve">M. peninsulae </t>
    </r>
    <r>
      <rPr>
        <sz val="10"/>
        <color theme="1"/>
        <rFont val="Arial"/>
        <family val="2"/>
      </rPr>
      <t>(tidewater silverside)</t>
    </r>
  </si>
  <si>
    <r>
      <t>Note: For acute tests with optional 2 or 4 replicates (e.g., fathead minnow), TST</t>
    </r>
    <r>
      <rPr>
        <sz val="10"/>
        <color indexed="8"/>
        <rFont val="Arial"/>
        <family val="2"/>
      </rPr>
      <t xml:space="preserve"> requires 4 replicates.</t>
    </r>
  </si>
  <si>
    <t>P. promelas (fathead minnow)</t>
  </si>
  <si>
    <t>Results description:</t>
  </si>
  <si>
    <t>A t-value is calculated for your dataset ("Calculated t-value") and compared against the "Table t-value" based on the degrees of freedom of your dataset.  If the Calculated t-value is greater than the Table t-value, then the sample is not toxic at that concentration. If the calculated value is less than or equal to the table value, then the sample is toxic. In the event that there is no variance the percent difference is used.</t>
  </si>
  <si>
    <t>TST Summary</t>
  </si>
  <si>
    <r>
      <t xml:space="preserve">H. rufescens </t>
    </r>
    <r>
      <rPr>
        <sz val="10"/>
        <color theme="1"/>
        <rFont val="Arial"/>
        <family val="2"/>
      </rPr>
      <t>(red abalone)</t>
    </r>
  </si>
  <si>
    <t>Sample is NOT Toxic</t>
  </si>
  <si>
    <t>Sample is Toxic</t>
  </si>
  <si>
    <t>Mean % Effect at Critical Conc.</t>
  </si>
  <si>
    <t>Critical Conc.</t>
  </si>
  <si>
    <t>This tool was created for several of the EPA WET test methods for the West Coast marine species (USEPA 1995) and the 2002 EPA WET test methods (USEPA 2002a, 2002b, 2002c) for other species.</t>
  </si>
  <si>
    <t>The Test of Significant Toxicity (TST) is a new statistical approach that assesses the whole effluent toxicity (WET) measurement of wastewater effects on specific test organisms’ ability to survive, grow, and reproduce developed by the U.S. EPA.  TST uses hypothesis testing techniques which examines whether a sample, at the critical concentration (e.g., in-stream waste concentration or IWC), and the control within a WET test differ by an unacceptable amount (the amount that would have a measured adverse effect on the ability of aquatic organisms to thrive and survive).  A sample can be either an effluent, stormwater, or receiving water.  Once the WET test has been conducted, the TST approach can be used to analyze valid WET test results to assess whether the sample is toxic.  The TST approach is designed to be used for a two concentration data analysis of the sample's critical concentration (e.g., IWC or a receiving water concentration) as compared to a control concentration.</t>
  </si>
  <si>
    <t>Control Data</t>
  </si>
  <si>
    <t>Critical Conc. Data</t>
  </si>
  <si>
    <t>α=0.20</t>
  </si>
  <si>
    <r>
      <t xml:space="preserve">H. azteca </t>
    </r>
    <r>
      <rPr>
        <sz val="10"/>
        <color theme="1"/>
        <rFont val="Arial"/>
        <family val="2"/>
      </rPr>
      <t>(amphipod)</t>
    </r>
  </si>
  <si>
    <r>
      <t xml:space="preserve">for </t>
    </r>
    <r>
      <rPr>
        <i/>
        <sz val="10"/>
        <color indexed="8"/>
        <rFont val="Arial"/>
        <family val="2"/>
      </rPr>
      <t xml:space="preserve">P. promelas,           C. variegatus,             M. berryllina, A. affinis, </t>
    </r>
    <r>
      <rPr>
        <sz val="10"/>
        <color indexed="8"/>
        <rFont val="Arial"/>
        <family val="2"/>
      </rPr>
      <t xml:space="preserve">and </t>
    </r>
    <r>
      <rPr>
        <i/>
        <sz val="10"/>
        <color indexed="8"/>
        <rFont val="Arial"/>
        <family val="2"/>
      </rPr>
      <t>S. capricornutum</t>
    </r>
  </si>
  <si>
    <t>Replicate</t>
  </si>
  <si>
    <t>7 day</t>
  </si>
  <si>
    <t>5.  Blue cells are merely for informational purposes</t>
  </si>
  <si>
    <t>6.  Click on the yellow button to save data to the "Statistics" tab if desired</t>
  </si>
  <si>
    <t>3.  Choose the appropriate test information from the red "Click to choose from menu" cells</t>
  </si>
  <si>
    <t>Tt001</t>
  </si>
  <si>
    <t>Number of Organisms Exposed or Counted</t>
  </si>
  <si>
    <t>The same WET test with multiple endpoints (e.g., survival and reproduction) must be entered separately</t>
  </si>
  <si>
    <t>4.  All gray cells will fill-in automatically if needed</t>
  </si>
  <si>
    <r>
      <t xml:space="preserve">Note: The chronic survival analysis is </t>
    </r>
    <r>
      <rPr>
        <b/>
        <sz val="10"/>
        <color indexed="8"/>
        <rFont val="Arial"/>
        <family val="2"/>
      </rPr>
      <t>not</t>
    </r>
    <r>
      <rPr>
        <sz val="10"/>
        <color theme="1"/>
        <rFont val="Arial"/>
        <family val="2"/>
      </rPr>
      <t xml:space="preserve"> available for </t>
    </r>
    <r>
      <rPr>
        <i/>
        <sz val="10"/>
        <color indexed="8"/>
        <rFont val="Arial"/>
        <family val="2"/>
      </rPr>
      <t>C. dubia</t>
    </r>
    <r>
      <rPr>
        <sz val="10"/>
        <color theme="1"/>
        <rFont val="Arial"/>
        <family val="2"/>
      </rPr>
      <t>.</t>
    </r>
  </si>
  <si>
    <t>2.  Fill in your raw test data (Number of Organisms Exposed or Counted and Response) for as many replicates as conducted in WET test</t>
  </si>
  <si>
    <t>*</t>
  </si>
  <si>
    <t>Percent data (survival, germination, etc.) should be input as whole numbers (not as decimals)</t>
  </si>
  <si>
    <t>Fish growth must be input as biomass</t>
  </si>
  <si>
    <t>Critical Concentration</t>
  </si>
  <si>
    <t>Degrees of Freedom</t>
  </si>
  <si>
    <t>Raw Data</t>
  </si>
  <si>
    <t>No. of Organisms Exposed or Counted</t>
  </si>
  <si>
    <t>Critical Concentration Data</t>
  </si>
  <si>
    <t>Test Type</t>
  </si>
  <si>
    <t>Results</t>
  </si>
  <si>
    <t>1.  Enter test information in the first block of red shaded cells (Test ID, Test Date, Test Duration, and Critical Concentration)</t>
  </si>
  <si>
    <t>"Critical Conc." means a facility specific IWC or 100% receiving water, etc. (i.e., one concentration of WET test)</t>
  </si>
  <si>
    <t>"Critical Conc. Data" means data from the concentration entered as the "Critical Conc." in cell B7</t>
  </si>
  <si>
    <t>This will create a running log of the calculated values for each test entered</t>
  </si>
  <si>
    <t>9.  Enter your next set of test data as directed above and a log of your data will be formed on the "Statistics" tab</t>
  </si>
  <si>
    <t>10.  You must save the Excel workbook file when finished if you want your data to be available the next time you open the file</t>
  </si>
  <si>
    <t>Clearing the data on the "Calculator" tab will also clear the "TST Summary Sheet" - be sure to print before clearing</t>
  </si>
  <si>
    <t>7.  Click on the "TST Summary Sheet" tab for a printer friendly version of the data and print if desired</t>
  </si>
  <si>
    <t>8.  Click on the green button on the "Calculator" tab to clear all the red input cells to enter new dataset</t>
  </si>
  <si>
    <t>Critical</t>
  </si>
  <si>
    <r>
      <t xml:space="preserve">H. costata </t>
    </r>
    <r>
      <rPr>
        <sz val="10"/>
        <color indexed="8"/>
        <rFont val="Arial"/>
        <family val="2"/>
      </rPr>
      <t>(mysid)</t>
    </r>
  </si>
  <si>
    <r>
      <t xml:space="preserve">T. gratilla </t>
    </r>
    <r>
      <rPr>
        <sz val="10"/>
        <color indexed="8"/>
        <rFont val="Arial"/>
        <family val="2"/>
      </rPr>
      <t>(echinoderm)</t>
    </r>
  </si>
  <si>
    <r>
      <t xml:space="preserve">for </t>
    </r>
    <r>
      <rPr>
        <i/>
        <sz val="10"/>
        <color indexed="8"/>
        <rFont val="Arial"/>
        <family val="2"/>
      </rPr>
      <t xml:space="preserve">A. bahia </t>
    </r>
    <r>
      <rPr>
        <sz val="10"/>
        <color indexed="8"/>
        <rFont val="Arial"/>
        <family val="2"/>
      </rPr>
      <t>and</t>
    </r>
    <r>
      <rPr>
        <i/>
        <sz val="10"/>
        <color indexed="8"/>
        <rFont val="Arial"/>
        <family val="2"/>
      </rPr>
      <t xml:space="preserve"> H. costata</t>
    </r>
  </si>
  <si>
    <r>
      <t xml:space="preserve">for </t>
    </r>
    <r>
      <rPr>
        <i/>
        <sz val="10"/>
        <color indexed="8"/>
        <rFont val="Arial"/>
        <family val="2"/>
      </rPr>
      <t xml:space="preserve">A. punctulata,
C. gigas, D. excentricus, H. rufescens, 
M. pyrifera, Mytilus sp., S. purpuratus </t>
    </r>
    <r>
      <rPr>
        <sz val="10"/>
        <color indexed="8"/>
        <rFont val="Arial"/>
        <family val="2"/>
      </rPr>
      <t>and</t>
    </r>
    <r>
      <rPr>
        <i/>
        <sz val="10"/>
        <color indexed="8"/>
        <rFont val="Arial"/>
        <family val="2"/>
      </rPr>
      <t xml:space="preserve"> 
T. gratilla</t>
    </r>
  </si>
  <si>
    <t>For acute, a % difference &lt;=10 is "Passing". If no variance,  a % difference &lt;25 for chronic, or &lt; = 10 for acute is considered "Passing".</t>
  </si>
  <si>
    <r>
      <rPr>
        <b/>
        <sz val="10"/>
        <color indexed="8"/>
        <rFont val="Arial"/>
        <family val="2"/>
      </rPr>
      <t>TST Calculator v1.8 Updates</t>
    </r>
    <r>
      <rPr>
        <sz val="10"/>
        <color theme="1"/>
        <rFont val="Arial"/>
        <family val="2"/>
      </rPr>
      <t xml:space="preserve">                                                                                                                                                                                                                                                                                                                                                                                                                                                                                                                                        TST Calculator v1.7 was updated to include space for a lab and client name, as well as making cells larger for test information input.</t>
    </r>
  </si>
  <si>
    <t>Lab Name</t>
  </si>
  <si>
    <t>Client Name</t>
  </si>
  <si>
    <t>Click to Choose from Menu</t>
  </si>
  <si>
    <t>Laboratory</t>
  </si>
  <si>
    <t>Municipality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</si>
</sst>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00"/>
    <numFmt numFmtId="172" formatCode="[$-409]dddd\,\ mmmm\ dd\,\ yyyy"/>
    <numFmt numFmtId="173" formatCode="0.00000000"/>
    <numFmt numFmtId="174" formatCode="0.0000000"/>
    <numFmt numFmtId="175" formatCode="0.000000"/>
    <numFmt numFmtId="176" formatCode="0.0000000000"/>
    <numFmt numFmtId="177" formatCode="0.000000000"/>
    <numFmt numFmtId="178" formatCode="0.000E+00"/>
  </numFmts>
  <fonts count="52">
    <font>
      <sz val="10"/>
      <color theme="1"/>
      <name val="Arial"/>
      <family val="2"/>
    </font>
    <font>
      <sz val="10"/>
      <color indexed="8"/>
      <name val="Arial"/>
      <family val="2"/>
    </font>
    <font>
      <i/>
      <sz val="10"/>
      <color indexed="8"/>
      <name val="Arial"/>
      <family val="2"/>
    </font>
    <font>
      <b/>
      <sz val="10"/>
      <color indexed="8"/>
      <name val="Arial"/>
      <family val="2"/>
    </font>
    <font>
      <sz val="8"/>
      <name val="Tahoma"/>
      <family val="2"/>
    </font>
    <font>
      <sz val="10"/>
      <color indexed="8"/>
      <name val="Calibri"/>
      <family val="2"/>
    </font>
    <font>
      <b/>
      <sz val="14"/>
      <color indexed="8"/>
      <name val="Arial"/>
      <family val="2"/>
    </font>
    <font>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1"/>
      <color indexed="8"/>
      <name val="Calibri"/>
      <family val="2"/>
    </font>
    <font>
      <b/>
      <sz val="12"/>
      <color indexed="8"/>
      <name val="Calibri"/>
      <family val="2"/>
    </font>
    <font>
      <b/>
      <sz val="3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libri"/>
      <family val="2"/>
    </font>
    <font>
      <i/>
      <sz val="10"/>
      <color theme="1"/>
      <name val="Arial"/>
      <family val="2"/>
    </font>
    <font>
      <b/>
      <sz val="12"/>
      <color theme="1"/>
      <name val="Calibri"/>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29"/>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medium"/>
      <right style="medium"/>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7">
    <xf numFmtId="0" fontId="0" fillId="0" borderId="0" xfId="0" applyAlignment="1">
      <alignment/>
    </xf>
    <xf numFmtId="0" fontId="3" fillId="0" borderId="0" xfId="0" applyFont="1" applyAlignment="1">
      <alignment/>
    </xf>
    <xf numFmtId="0" fontId="0" fillId="0" borderId="0" xfId="0" applyAlignment="1">
      <alignment horizontal="right"/>
    </xf>
    <xf numFmtId="0" fontId="0" fillId="0" borderId="0" xfId="0" applyAlignment="1">
      <alignment horizontal="center"/>
    </xf>
    <xf numFmtId="165" fontId="0" fillId="0" borderId="0" xfId="0" applyNumberFormat="1" applyAlignment="1">
      <alignment/>
    </xf>
    <xf numFmtId="0" fontId="0" fillId="0" borderId="0" xfId="0" applyFill="1" applyAlignment="1">
      <alignment/>
    </xf>
    <xf numFmtId="0" fontId="0" fillId="0" borderId="10" xfId="0" applyBorder="1" applyAlignment="1">
      <alignment/>
    </xf>
    <xf numFmtId="0" fontId="5" fillId="0" borderId="0" xfId="0" applyFont="1" applyAlignment="1">
      <alignment horizontal="center"/>
    </xf>
    <xf numFmtId="2" fontId="0" fillId="0" borderId="0" xfId="0" applyNumberFormat="1" applyAlignment="1">
      <alignment/>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0" fillId="0" borderId="0" xfId="0" applyBorder="1" applyAlignment="1">
      <alignment/>
    </xf>
    <xf numFmtId="0" fontId="0" fillId="0" borderId="10" xfId="0" applyBorder="1" applyAlignment="1">
      <alignment horizontal="left"/>
    </xf>
    <xf numFmtId="0" fontId="0" fillId="0" borderId="0" xfId="0" applyFill="1" applyBorder="1" applyAlignment="1">
      <alignment/>
    </xf>
    <xf numFmtId="0" fontId="0" fillId="33" borderId="11" xfId="0" applyFont="1" applyFill="1" applyBorder="1" applyAlignment="1">
      <alignment horizontal="left"/>
    </xf>
    <xf numFmtId="0" fontId="1" fillId="33" borderId="12" xfId="0" applyFont="1" applyFill="1" applyBorder="1" applyAlignment="1">
      <alignment horizontal="left"/>
    </xf>
    <xf numFmtId="0" fontId="3" fillId="0" borderId="0" xfId="0" applyFont="1" applyBorder="1" applyAlignment="1">
      <alignment horizontal="right"/>
    </xf>
    <xf numFmtId="0" fontId="3" fillId="0" borderId="0" xfId="0" applyFont="1" applyAlignment="1">
      <alignment horizontal="right"/>
    </xf>
    <xf numFmtId="0" fontId="0" fillId="0" borderId="0" xfId="0" applyFont="1" applyAlignment="1">
      <alignment horizontal="center"/>
    </xf>
    <xf numFmtId="0" fontId="0" fillId="0" borderId="0" xfId="0" applyFill="1" applyAlignment="1">
      <alignment horizontal="center"/>
    </xf>
    <xf numFmtId="0" fontId="5" fillId="0" borderId="0" xfId="0" applyFont="1" applyAlignment="1">
      <alignment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xf>
    <xf numFmtId="0" fontId="0" fillId="34" borderId="10" xfId="0" applyFill="1" applyBorder="1" applyAlignment="1">
      <alignment/>
    </xf>
    <xf numFmtId="0" fontId="2" fillId="0" borderId="0" xfId="0" applyFont="1" applyFill="1" applyAlignment="1">
      <alignment/>
    </xf>
    <xf numFmtId="0" fontId="0" fillId="0" borderId="0" xfId="0" applyFill="1" applyAlignment="1" applyProtection="1">
      <alignment horizontal="left"/>
      <protection locked="0"/>
    </xf>
    <xf numFmtId="0" fontId="3" fillId="33" borderId="10" xfId="0" applyFont="1" applyFill="1" applyBorder="1" applyAlignment="1">
      <alignment horizontal="left"/>
    </xf>
    <xf numFmtId="0" fontId="2" fillId="0" borderId="0" xfId="0" applyFont="1" applyFill="1" applyBorder="1" applyAlignment="1">
      <alignment horizontal="center"/>
    </xf>
    <xf numFmtId="0" fontId="0" fillId="34" borderId="0" xfId="0" applyFill="1" applyBorder="1" applyAlignment="1" applyProtection="1">
      <alignment horizontal="left"/>
      <protection/>
    </xf>
    <xf numFmtId="0" fontId="3" fillId="0" borderId="0" xfId="0" applyFont="1" applyFill="1" applyAlignment="1">
      <alignment/>
    </xf>
    <xf numFmtId="0" fontId="1" fillId="0" borderId="0" xfId="0" applyFont="1" applyFill="1" applyBorder="1" applyAlignment="1">
      <alignment vertical="top" wrapText="1"/>
    </xf>
    <xf numFmtId="0" fontId="1" fillId="33" borderId="11" xfId="0" applyFont="1" applyFill="1" applyBorder="1" applyAlignment="1">
      <alignment horizontal="left"/>
    </xf>
    <xf numFmtId="0" fontId="0" fillId="0" borderId="0" xfId="0" applyFill="1" applyBorder="1" applyAlignment="1">
      <alignment vertical="top" wrapText="1"/>
    </xf>
    <xf numFmtId="0" fontId="0" fillId="33" borderId="15"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0" fontId="0" fillId="35" borderId="0" xfId="0" applyFill="1" applyAlignment="1">
      <alignment/>
    </xf>
    <xf numFmtId="0" fontId="0" fillId="36" borderId="0" xfId="0" applyFill="1" applyAlignment="1">
      <alignment/>
    </xf>
    <xf numFmtId="0" fontId="0" fillId="0" borderId="0" xfId="0" applyFill="1" applyAlignment="1">
      <alignment horizontal="left"/>
    </xf>
    <xf numFmtId="14" fontId="0" fillId="0" borderId="0" xfId="0" applyNumberFormat="1" applyFill="1" applyAlignment="1">
      <alignment horizontal="left"/>
    </xf>
    <xf numFmtId="0" fontId="3" fillId="36" borderId="0" xfId="0" applyFont="1" applyFill="1" applyAlignment="1">
      <alignment/>
    </xf>
    <xf numFmtId="0" fontId="3" fillId="35" borderId="0" xfId="0" applyFont="1" applyFill="1" applyAlignment="1">
      <alignment/>
    </xf>
    <xf numFmtId="0" fontId="0" fillId="0" borderId="0" xfId="0" applyFill="1" applyBorder="1" applyAlignment="1">
      <alignment horizontal="left" vertical="top" wrapText="1"/>
    </xf>
    <xf numFmtId="0" fontId="0" fillId="0" borderId="0" xfId="0" applyFill="1" applyBorder="1" applyAlignment="1">
      <alignment vertical="top"/>
    </xf>
    <xf numFmtId="2" fontId="0" fillId="0" borderId="0" xfId="0" applyNumberFormat="1" applyFill="1" applyAlignment="1">
      <alignment horizontal="left"/>
    </xf>
    <xf numFmtId="0" fontId="0" fillId="37" borderId="16" xfId="0" applyFill="1" applyBorder="1" applyAlignment="1">
      <alignment/>
    </xf>
    <xf numFmtId="0" fontId="0" fillId="37" borderId="14" xfId="0" applyFill="1" applyBorder="1" applyAlignment="1">
      <alignment/>
    </xf>
    <xf numFmtId="0" fontId="0" fillId="37" borderId="12"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2" xfId="0" applyFill="1" applyBorder="1" applyAlignment="1">
      <alignment horizontal="right"/>
    </xf>
    <xf numFmtId="49" fontId="0" fillId="37" borderId="12" xfId="0" applyNumberFormat="1" applyFill="1" applyBorder="1" applyAlignment="1">
      <alignment horizontal="right"/>
    </xf>
    <xf numFmtId="0" fontId="0" fillId="37" borderId="12" xfId="0" applyFill="1" applyBorder="1" applyAlignment="1">
      <alignment horizontal="left"/>
    </xf>
    <xf numFmtId="170" fontId="0" fillId="34" borderId="10" xfId="0" applyNumberFormat="1" applyFill="1" applyBorder="1" applyAlignment="1">
      <alignment/>
    </xf>
    <xf numFmtId="0" fontId="0" fillId="0" borderId="0" xfId="0" applyFill="1" applyBorder="1" applyAlignment="1">
      <alignment horizontal="left"/>
    </xf>
    <xf numFmtId="0" fontId="0" fillId="0" borderId="0" xfId="0" applyFont="1" applyFill="1" applyBorder="1" applyAlignment="1">
      <alignment/>
    </xf>
    <xf numFmtId="0" fontId="3" fillId="0" borderId="0" xfId="0" applyFont="1" applyAlignment="1">
      <alignment/>
    </xf>
    <xf numFmtId="0" fontId="0" fillId="38" borderId="18" xfId="0" applyNumberFormat="1" applyFill="1" applyBorder="1" applyAlignment="1" applyProtection="1">
      <alignment horizontal="center"/>
      <protection locked="0"/>
    </xf>
    <xf numFmtId="0" fontId="0" fillId="38" borderId="19" xfId="0" applyNumberFormat="1" applyFill="1" applyBorder="1" applyAlignment="1" applyProtection="1">
      <alignment horizontal="center"/>
      <protection locked="0"/>
    </xf>
    <xf numFmtId="165" fontId="0" fillId="34" borderId="10" xfId="0" applyNumberFormat="1" applyFill="1" applyBorder="1" applyAlignment="1">
      <alignment horizontal="center"/>
    </xf>
    <xf numFmtId="0" fontId="2" fillId="0" borderId="0" xfId="0" applyFont="1" applyFill="1" applyAlignment="1">
      <alignment wrapText="1"/>
    </xf>
    <xf numFmtId="0" fontId="1" fillId="33" borderId="17" xfId="0" applyFont="1" applyFill="1" applyBorder="1" applyAlignment="1">
      <alignment horizontal="left"/>
    </xf>
    <xf numFmtId="0" fontId="0" fillId="33" borderId="14" xfId="0" applyFont="1" applyFill="1" applyBorder="1" applyAlignment="1">
      <alignment horizontal="left"/>
    </xf>
    <xf numFmtId="0" fontId="0" fillId="33" borderId="13" xfId="0" applyFont="1" applyFill="1" applyBorder="1" applyAlignment="1">
      <alignment horizontal="left"/>
    </xf>
    <xf numFmtId="0" fontId="0" fillId="33" borderId="11" xfId="0" applyFont="1" applyFill="1" applyBorder="1" applyAlignment="1">
      <alignment/>
    </xf>
    <xf numFmtId="0" fontId="0" fillId="33" borderId="20" xfId="0" applyFill="1" applyBorder="1" applyAlignment="1">
      <alignment/>
    </xf>
    <xf numFmtId="0" fontId="0" fillId="38" borderId="21" xfId="0" applyFill="1" applyBorder="1" applyAlignment="1" applyProtection="1">
      <alignment horizontal="center"/>
      <protection locked="0"/>
    </xf>
    <xf numFmtId="0" fontId="0" fillId="0" borderId="0" xfId="0" applyFill="1" applyBorder="1" applyAlignment="1" applyProtection="1">
      <alignment horizontal="center"/>
      <protection/>
    </xf>
    <xf numFmtId="0" fontId="3" fillId="0" borderId="10" xfId="0" applyFont="1" applyBorder="1" applyAlignment="1">
      <alignment/>
    </xf>
    <xf numFmtId="0" fontId="3" fillId="0" borderId="10" xfId="0" applyFont="1" applyBorder="1" applyAlignment="1">
      <alignment horizontal="center"/>
    </xf>
    <xf numFmtId="0" fontId="0" fillId="0" borderId="22" xfId="0" applyFill="1" applyBorder="1" applyAlignment="1">
      <alignment horizontal="left"/>
    </xf>
    <xf numFmtId="0" fontId="0" fillId="0" borderId="22" xfId="0" applyFill="1" applyBorder="1" applyAlignment="1">
      <alignment/>
    </xf>
    <xf numFmtId="0" fontId="0" fillId="0" borderId="16" xfId="0" applyFill="1" applyBorder="1" applyAlignment="1">
      <alignment/>
    </xf>
    <xf numFmtId="0" fontId="0" fillId="0" borderId="12" xfId="0" applyFill="1" applyBorder="1" applyAlignment="1">
      <alignment/>
    </xf>
    <xf numFmtId="165" fontId="0" fillId="34" borderId="10" xfId="0" applyNumberFormat="1" applyFill="1" applyBorder="1" applyAlignment="1">
      <alignment/>
    </xf>
    <xf numFmtId="2" fontId="0" fillId="34" borderId="10" xfId="0" applyNumberFormat="1" applyFill="1" applyBorder="1" applyAlignment="1">
      <alignment/>
    </xf>
    <xf numFmtId="0" fontId="3" fillId="0" borderId="23" xfId="0" applyFont="1" applyBorder="1" applyAlignment="1">
      <alignment/>
    </xf>
    <xf numFmtId="0" fontId="2" fillId="36" borderId="0" xfId="0" applyFont="1" applyFill="1" applyBorder="1" applyAlignment="1">
      <alignment/>
    </xf>
    <xf numFmtId="0" fontId="2" fillId="36" borderId="0" xfId="0" applyFont="1" applyFill="1" applyAlignment="1">
      <alignment/>
    </xf>
    <xf numFmtId="0" fontId="2" fillId="36" borderId="0" xfId="0" applyFont="1" applyFill="1" applyAlignment="1">
      <alignment wrapText="1"/>
    </xf>
    <xf numFmtId="0" fontId="0" fillId="0" borderId="16" xfId="0" applyFill="1" applyBorder="1" applyAlignment="1">
      <alignment vertical="top"/>
    </xf>
    <xf numFmtId="0" fontId="0" fillId="0" borderId="23" xfId="0" applyFill="1" applyBorder="1" applyAlignment="1">
      <alignment horizontal="center"/>
    </xf>
    <xf numFmtId="0" fontId="0" fillId="0" borderId="23" xfId="0" applyFill="1" applyBorder="1" applyAlignment="1">
      <alignment wrapText="1"/>
    </xf>
    <xf numFmtId="0" fontId="0" fillId="33" borderId="11" xfId="0" applyFill="1"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2" fillId="0" borderId="0" xfId="0" applyFont="1" applyFill="1" applyAlignment="1" applyProtection="1">
      <alignment/>
      <protection locked="0"/>
    </xf>
    <xf numFmtId="0" fontId="0" fillId="0" borderId="0" xfId="0" applyFill="1" applyAlignment="1" applyProtection="1">
      <alignment/>
      <protection locked="0"/>
    </xf>
    <xf numFmtId="0" fontId="0" fillId="37" borderId="0" xfId="0" applyFill="1" applyBorder="1" applyAlignment="1">
      <alignment wrapText="1"/>
    </xf>
    <xf numFmtId="0" fontId="0" fillId="37" borderId="17" xfId="0" applyFill="1" applyBorder="1" applyAlignment="1">
      <alignment wrapText="1"/>
    </xf>
    <xf numFmtId="0" fontId="0" fillId="37" borderId="12" xfId="0" applyFill="1" applyBorder="1" applyAlignment="1">
      <alignment/>
    </xf>
    <xf numFmtId="0" fontId="2" fillId="0" borderId="0" xfId="0"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3" fillId="0" borderId="0" xfId="0" applyFont="1" applyAlignment="1" applyProtection="1">
      <alignment horizontal="left"/>
      <protection/>
    </xf>
    <xf numFmtId="0" fontId="0" fillId="10" borderId="16" xfId="0" applyFill="1" applyBorder="1" applyAlignment="1">
      <alignment/>
    </xf>
    <xf numFmtId="0" fontId="0" fillId="10" borderId="14" xfId="0" applyFill="1" applyBorder="1" applyAlignment="1">
      <alignment/>
    </xf>
    <xf numFmtId="0" fontId="0" fillId="10" borderId="12" xfId="0" applyFill="1" applyBorder="1" applyAlignment="1">
      <alignment/>
    </xf>
    <xf numFmtId="0" fontId="0" fillId="10" borderId="0" xfId="0" applyFill="1" applyBorder="1" applyAlignment="1">
      <alignment/>
    </xf>
    <xf numFmtId="0" fontId="0" fillId="10" borderId="17" xfId="0" applyFill="1" applyBorder="1" applyAlignment="1">
      <alignment/>
    </xf>
    <xf numFmtId="0" fontId="0" fillId="6" borderId="12" xfId="0" applyFill="1" applyBorder="1" applyAlignment="1">
      <alignment vertical="top"/>
    </xf>
    <xf numFmtId="0" fontId="0" fillId="6" borderId="0" xfId="0" applyFill="1" applyBorder="1" applyAlignment="1">
      <alignment vertical="top" wrapText="1"/>
    </xf>
    <xf numFmtId="0" fontId="0" fillId="6" borderId="17" xfId="0" applyFill="1" applyBorder="1" applyAlignment="1">
      <alignment vertical="top" wrapText="1"/>
    </xf>
    <xf numFmtId="0" fontId="0" fillId="6" borderId="0" xfId="0" applyFill="1" applyBorder="1" applyAlignment="1">
      <alignment/>
    </xf>
    <xf numFmtId="0" fontId="0" fillId="6" borderId="17" xfId="0" applyFill="1" applyBorder="1" applyAlignment="1">
      <alignment/>
    </xf>
    <xf numFmtId="0" fontId="0" fillId="6" borderId="26" xfId="0" applyFill="1" applyBorder="1" applyAlignment="1">
      <alignment vertical="top"/>
    </xf>
    <xf numFmtId="0" fontId="0" fillId="6" borderId="23" xfId="0" applyFill="1" applyBorder="1" applyAlignment="1">
      <alignment/>
    </xf>
    <xf numFmtId="0" fontId="0" fillId="6" borderId="27" xfId="0" applyFill="1" applyBorder="1" applyAlignment="1">
      <alignment/>
    </xf>
    <xf numFmtId="0" fontId="7" fillId="38" borderId="21" xfId="0" applyFont="1" applyFill="1" applyBorder="1" applyAlignment="1" applyProtection="1">
      <alignment horizontal="center"/>
      <protection locked="0"/>
    </xf>
    <xf numFmtId="0" fontId="7" fillId="38" borderId="18" xfId="0" applyNumberFormat="1" applyFont="1" applyFill="1" applyBorder="1" applyAlignment="1" applyProtection="1">
      <alignment horizontal="center"/>
      <protection locked="0"/>
    </xf>
    <xf numFmtId="0" fontId="7" fillId="38" borderId="21" xfId="0" applyNumberFormat="1" applyFont="1" applyFill="1" applyBorder="1" applyAlignment="1" applyProtection="1">
      <alignment horizontal="center"/>
      <protection locked="0"/>
    </xf>
    <xf numFmtId="0" fontId="7" fillId="38" borderId="28" xfId="0" applyFont="1" applyFill="1" applyBorder="1" applyAlignment="1" applyProtection="1">
      <alignment horizontal="center"/>
      <protection locked="0"/>
    </xf>
    <xf numFmtId="0" fontId="7" fillId="38" borderId="19" xfId="0" applyNumberFormat="1" applyFont="1" applyFill="1" applyBorder="1" applyAlignment="1" applyProtection="1">
      <alignment horizontal="center"/>
      <protection locked="0"/>
    </xf>
    <xf numFmtId="0" fontId="7" fillId="38" borderId="28" xfId="0" applyNumberFormat="1" applyFont="1" applyFill="1" applyBorder="1" applyAlignment="1" applyProtection="1">
      <alignment horizontal="center"/>
      <protection locked="0"/>
    </xf>
    <xf numFmtId="0" fontId="45" fillId="37" borderId="12" xfId="0" applyFont="1" applyFill="1" applyBorder="1" applyAlignment="1">
      <alignment horizontal="center"/>
    </xf>
    <xf numFmtId="0" fontId="3" fillId="0" borderId="17" xfId="0" applyFont="1" applyFill="1" applyBorder="1" applyAlignment="1">
      <alignment horizontal="center"/>
    </xf>
    <xf numFmtId="0" fontId="47" fillId="0" borderId="0" xfId="0" applyFont="1" applyAlignment="1">
      <alignment horizontal="center"/>
    </xf>
    <xf numFmtId="0" fontId="0" fillId="0" borderId="25"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9" xfId="0" applyFont="1" applyBorder="1" applyAlignment="1">
      <alignment horizontal="center" vertical="center"/>
    </xf>
    <xf numFmtId="0" fontId="0" fillId="0" borderId="30" xfId="0" applyNumberFormat="1" applyFill="1" applyBorder="1" applyAlignment="1" applyProtection="1">
      <alignment horizontal="center"/>
      <protection/>
    </xf>
    <xf numFmtId="0" fontId="45" fillId="0" borderId="0" xfId="0" applyFont="1" applyAlignment="1">
      <alignment/>
    </xf>
    <xf numFmtId="0" fontId="0" fillId="0" borderId="0" xfId="0" applyBorder="1" applyAlignment="1">
      <alignment horizontal="left"/>
    </xf>
    <xf numFmtId="0" fontId="45" fillId="0" borderId="23" xfId="0" applyFont="1" applyBorder="1" applyAlignment="1">
      <alignment/>
    </xf>
    <xf numFmtId="0" fontId="0" fillId="0" borderId="23" xfId="0" applyBorder="1" applyAlignment="1">
      <alignment/>
    </xf>
    <xf numFmtId="0" fontId="0" fillId="0" borderId="0" xfId="0" applyAlignment="1">
      <alignment/>
    </xf>
    <xf numFmtId="0" fontId="0" fillId="0" borderId="0" xfId="0" applyAlignment="1">
      <alignment horizontal="left"/>
    </xf>
    <xf numFmtId="2" fontId="0" fillId="0" borderId="0" xfId="0" applyNumberFormat="1" applyAlignment="1">
      <alignment horizontal="left"/>
    </xf>
    <xf numFmtId="0" fontId="45" fillId="0" borderId="23" xfId="0" applyFont="1" applyBorder="1" applyAlignment="1">
      <alignment horizontal="left"/>
    </xf>
    <xf numFmtId="0" fontId="0" fillId="0" borderId="0" xfId="0" applyAlignment="1" applyProtection="1">
      <alignment horizontal="left"/>
      <protection/>
    </xf>
    <xf numFmtId="0" fontId="48" fillId="0" borderId="0" xfId="0" applyFont="1" applyAlignment="1">
      <alignment/>
    </xf>
    <xf numFmtId="0" fontId="3" fillId="0" borderId="0" xfId="0" applyFont="1" applyFill="1" applyBorder="1" applyAlignment="1">
      <alignment horizontal="center"/>
    </xf>
    <xf numFmtId="1" fontId="0" fillId="0" borderId="0" xfId="0" applyNumberFormat="1" applyAlignment="1">
      <alignment horizontal="left"/>
    </xf>
    <xf numFmtId="1" fontId="0" fillId="0" borderId="0" xfId="0" applyNumberFormat="1" applyAlignment="1">
      <alignment/>
    </xf>
    <xf numFmtId="0" fontId="3" fillId="36" borderId="0" xfId="0" applyFont="1" applyFill="1" applyAlignment="1">
      <alignment/>
    </xf>
    <xf numFmtId="2" fontId="3" fillId="0" borderId="0" xfId="0" applyNumberFormat="1" applyFont="1" applyAlignment="1" applyProtection="1">
      <alignment horizontal="left"/>
      <protection/>
    </xf>
    <xf numFmtId="2" fontId="0" fillId="0" borderId="0" xfId="0" applyNumberFormat="1" applyAlignment="1" applyProtection="1">
      <alignment horizontal="left"/>
      <protection locked="0"/>
    </xf>
    <xf numFmtId="0" fontId="3" fillId="0" borderId="0" xfId="0" applyFont="1" applyAlignment="1" applyProtection="1">
      <alignment horizontal="left"/>
      <protection/>
    </xf>
    <xf numFmtId="0" fontId="0" fillId="38" borderId="18" xfId="0" applyFill="1" applyBorder="1" applyAlignment="1" applyProtection="1">
      <alignment horizontal="center"/>
      <protection locked="0"/>
    </xf>
    <xf numFmtId="0" fontId="2" fillId="0" borderId="0" xfId="0" applyFont="1" applyFill="1" applyBorder="1" applyAlignment="1">
      <alignment/>
    </xf>
    <xf numFmtId="0" fontId="49" fillId="0" borderId="0" xfId="0" applyFont="1" applyAlignment="1">
      <alignment vertical="center" wrapText="1"/>
    </xf>
    <xf numFmtId="0" fontId="0" fillId="0" borderId="0" xfId="0" applyAlignment="1">
      <alignment horizontal="left"/>
    </xf>
    <xf numFmtId="0" fontId="0" fillId="6" borderId="15" xfId="0" applyFill="1" applyBorder="1" applyAlignment="1">
      <alignment horizontal="left" vertical="top" wrapText="1"/>
    </xf>
    <xf numFmtId="0" fontId="0" fillId="6" borderId="16" xfId="0" applyFill="1" applyBorder="1" applyAlignment="1">
      <alignment horizontal="left" vertical="top" wrapText="1"/>
    </xf>
    <xf numFmtId="0" fontId="0" fillId="6" borderId="14" xfId="0" applyFill="1" applyBorder="1" applyAlignment="1">
      <alignment horizontal="left" vertical="top" wrapText="1"/>
    </xf>
    <xf numFmtId="0" fontId="0" fillId="6" borderId="12" xfId="0" applyFill="1" applyBorder="1" applyAlignment="1">
      <alignment horizontal="left" vertical="top" wrapText="1"/>
    </xf>
    <xf numFmtId="0" fontId="0" fillId="6" borderId="0" xfId="0" applyFill="1" applyBorder="1" applyAlignment="1">
      <alignment horizontal="left" vertical="top" wrapText="1"/>
    </xf>
    <xf numFmtId="0" fontId="0" fillId="6" borderId="17" xfId="0" applyFill="1" applyBorder="1" applyAlignment="1">
      <alignment horizontal="left" vertical="top" wrapText="1"/>
    </xf>
    <xf numFmtId="0" fontId="6" fillId="37" borderId="15" xfId="0" applyFont="1" applyFill="1" applyBorder="1" applyAlignment="1">
      <alignment horizontal="left"/>
    </xf>
    <xf numFmtId="0" fontId="6" fillId="37" borderId="16" xfId="0" applyFont="1" applyFill="1" applyBorder="1" applyAlignment="1">
      <alignment horizontal="left"/>
    </xf>
    <xf numFmtId="0" fontId="0" fillId="37" borderId="12" xfId="0" applyFill="1" applyBorder="1" applyAlignment="1">
      <alignment horizontal="left" vertical="top" wrapText="1"/>
    </xf>
    <xf numFmtId="0" fontId="0" fillId="37" borderId="0" xfId="0" applyFill="1" applyBorder="1" applyAlignment="1">
      <alignment horizontal="left" vertical="top" wrapText="1"/>
    </xf>
    <xf numFmtId="0" fontId="0" fillId="37" borderId="17" xfId="0" applyFill="1" applyBorder="1" applyAlignment="1">
      <alignment horizontal="left" vertical="top" wrapText="1"/>
    </xf>
    <xf numFmtId="0" fontId="0" fillId="37" borderId="26" xfId="0" applyFill="1" applyBorder="1" applyAlignment="1">
      <alignment horizontal="left" vertical="top" wrapText="1"/>
    </xf>
    <xf numFmtId="0" fontId="0" fillId="37" borderId="23" xfId="0" applyFill="1" applyBorder="1" applyAlignment="1">
      <alignment horizontal="left" vertical="top" wrapText="1"/>
    </xf>
    <xf numFmtId="0" fontId="0" fillId="37" borderId="27" xfId="0" applyFill="1" applyBorder="1" applyAlignment="1">
      <alignment horizontal="left" vertical="top" wrapText="1"/>
    </xf>
    <xf numFmtId="0" fontId="50" fillId="10" borderId="15" xfId="0" applyFont="1" applyFill="1" applyBorder="1" applyAlignment="1">
      <alignment horizontal="left"/>
    </xf>
    <xf numFmtId="0" fontId="50" fillId="10" borderId="16" xfId="0" applyFont="1" applyFill="1" applyBorder="1" applyAlignment="1">
      <alignment horizontal="left"/>
    </xf>
    <xf numFmtId="0" fontId="0" fillId="10" borderId="12" xfId="0" applyFill="1" applyBorder="1" applyAlignment="1">
      <alignment horizontal="left" wrapText="1"/>
    </xf>
    <xf numFmtId="0" fontId="0" fillId="10" borderId="0" xfId="0" applyFill="1" applyBorder="1" applyAlignment="1">
      <alignment horizontal="left" wrapText="1"/>
    </xf>
    <xf numFmtId="0" fontId="0" fillId="10" borderId="17" xfId="0" applyFill="1" applyBorder="1" applyAlignment="1">
      <alignment horizontal="left" wrapText="1"/>
    </xf>
    <xf numFmtId="0" fontId="0" fillId="10" borderId="26" xfId="0" applyFill="1" applyBorder="1" applyAlignment="1">
      <alignment horizontal="left" wrapText="1"/>
    </xf>
    <xf numFmtId="0" fontId="0" fillId="10" borderId="23" xfId="0" applyFill="1" applyBorder="1" applyAlignment="1">
      <alignment horizontal="left" wrapText="1"/>
    </xf>
    <xf numFmtId="0" fontId="0" fillId="10" borderId="27" xfId="0" applyFill="1" applyBorder="1" applyAlignment="1">
      <alignment horizontal="left" wrapText="1"/>
    </xf>
    <xf numFmtId="0" fontId="0" fillId="0" borderId="10" xfId="0" applyBorder="1" applyAlignment="1">
      <alignment horizontal="center" vertical="center" wrapText="1"/>
    </xf>
    <xf numFmtId="0" fontId="0" fillId="0" borderId="10" xfId="0" applyBorder="1" applyAlignment="1">
      <alignment vertical="center" wrapText="1"/>
    </xf>
    <xf numFmtId="0" fontId="3" fillId="39" borderId="31" xfId="0" applyFont="1" applyFill="1" applyBorder="1" applyAlignment="1">
      <alignment horizontal="left"/>
    </xf>
    <xf numFmtId="0" fontId="3" fillId="39" borderId="32" xfId="0" applyFont="1" applyFill="1" applyBorder="1" applyAlignment="1">
      <alignment horizontal="left"/>
    </xf>
    <xf numFmtId="0" fontId="1" fillId="39" borderId="12" xfId="0" applyFont="1" applyFill="1" applyBorder="1" applyAlignment="1">
      <alignment horizontal="left" vertical="top" wrapText="1"/>
    </xf>
    <xf numFmtId="0" fontId="1" fillId="39" borderId="17" xfId="0" applyFont="1" applyFill="1" applyBorder="1" applyAlignment="1">
      <alignment horizontal="left"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26" xfId="0" applyFill="1" applyBorder="1" applyAlignment="1">
      <alignment horizontal="center"/>
    </xf>
    <xf numFmtId="0" fontId="0" fillId="0" borderId="27" xfId="0" applyFill="1" applyBorder="1" applyAlignment="1">
      <alignment horizontal="center"/>
    </xf>
    <xf numFmtId="0" fontId="0" fillId="33" borderId="15" xfId="0" applyFill="1" applyBorder="1" applyAlignment="1">
      <alignment horizontal="left" vertical="top" wrapText="1"/>
    </xf>
    <xf numFmtId="0" fontId="0" fillId="33" borderId="14" xfId="0" applyFill="1" applyBorder="1" applyAlignment="1">
      <alignment horizontal="left" vertical="top" wrapText="1"/>
    </xf>
    <xf numFmtId="0" fontId="0" fillId="33" borderId="12" xfId="0" applyFill="1" applyBorder="1" applyAlignment="1">
      <alignment horizontal="left" vertical="top" wrapText="1"/>
    </xf>
    <xf numFmtId="0" fontId="0" fillId="33" borderId="17"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0" fillId="33" borderId="15" xfId="0" applyFill="1" applyBorder="1" applyAlignment="1">
      <alignment horizontal="left" wrapText="1"/>
    </xf>
    <xf numFmtId="0" fontId="0" fillId="33" borderId="16" xfId="0" applyFill="1" applyBorder="1" applyAlignment="1">
      <alignment horizontal="left" wrapText="1"/>
    </xf>
    <xf numFmtId="0" fontId="0" fillId="33" borderId="14" xfId="0" applyFill="1" applyBorder="1" applyAlignment="1">
      <alignment horizontal="left" wrapText="1"/>
    </xf>
    <xf numFmtId="0" fontId="0" fillId="33" borderId="12" xfId="0" applyFill="1" applyBorder="1" applyAlignment="1">
      <alignment horizontal="left" wrapText="1"/>
    </xf>
    <xf numFmtId="0" fontId="0" fillId="33" borderId="0" xfId="0" applyFill="1" applyBorder="1" applyAlignment="1">
      <alignment horizontal="left" wrapText="1"/>
    </xf>
    <xf numFmtId="0" fontId="0" fillId="33" borderId="17" xfId="0" applyFill="1" applyBorder="1" applyAlignment="1">
      <alignment horizontal="left" wrapText="1"/>
    </xf>
    <xf numFmtId="0" fontId="0" fillId="33" borderId="26" xfId="0" applyFill="1" applyBorder="1" applyAlignment="1">
      <alignment horizontal="left" wrapText="1"/>
    </xf>
    <xf numFmtId="0" fontId="0" fillId="33" borderId="23" xfId="0" applyFill="1" applyBorder="1" applyAlignment="1">
      <alignment horizontal="left" wrapText="1"/>
    </xf>
    <xf numFmtId="0" fontId="0" fillId="33" borderId="27" xfId="0" applyFill="1" applyBorder="1" applyAlignment="1">
      <alignment horizontal="left" wrapText="1"/>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171" fontId="0" fillId="34" borderId="31" xfId="0" applyNumberFormat="1" applyFill="1" applyBorder="1" applyAlignment="1">
      <alignment horizontal="center"/>
    </xf>
    <xf numFmtId="171" fontId="0" fillId="34" borderId="22" xfId="0" applyNumberFormat="1" applyFill="1" applyBorder="1" applyAlignment="1">
      <alignment horizontal="center"/>
    </xf>
    <xf numFmtId="171" fontId="0" fillId="34" borderId="32" xfId="0" applyNumberFormat="1" applyFill="1" applyBorder="1" applyAlignment="1">
      <alignment horizontal="center"/>
    </xf>
    <xf numFmtId="0" fontId="8" fillId="38" borderId="0" xfId="0" applyFont="1" applyFill="1" applyAlignment="1" applyProtection="1">
      <alignment horizontal="left"/>
      <protection locked="0"/>
    </xf>
    <xf numFmtId="0" fontId="7" fillId="38" borderId="0" xfId="0" applyFont="1" applyFill="1" applyAlignment="1" applyProtection="1">
      <alignment horizontal="left"/>
      <protection locked="0"/>
    </xf>
    <xf numFmtId="0" fontId="1" fillId="33" borderId="17" xfId="0" applyFont="1" applyFill="1" applyBorder="1" applyAlignment="1">
      <alignment horizontal="left" vertical="top" wrapText="1"/>
    </xf>
    <xf numFmtId="0" fontId="1" fillId="39" borderId="26" xfId="0" applyFont="1" applyFill="1" applyBorder="1" applyAlignment="1">
      <alignment horizontal="left" vertical="top" wrapText="1"/>
    </xf>
    <xf numFmtId="0" fontId="1" fillId="39" borderId="27" xfId="0" applyFont="1" applyFill="1" applyBorder="1" applyAlignment="1">
      <alignment horizontal="left"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27" xfId="0" applyBorder="1" applyAlignment="1">
      <alignment horizontal="center" wrapText="1"/>
    </xf>
    <xf numFmtId="0" fontId="0" fillId="0" borderId="39" xfId="0" applyFill="1" applyBorder="1" applyAlignment="1">
      <alignment horizontal="center" wrapText="1"/>
    </xf>
    <xf numFmtId="0" fontId="3" fillId="0" borderId="40" xfId="0" applyFont="1" applyFill="1" applyBorder="1" applyAlignment="1">
      <alignment horizontal="center" wrapText="1"/>
    </xf>
    <xf numFmtId="0" fontId="3" fillId="0" borderId="41" xfId="0" applyFont="1" applyFill="1" applyBorder="1" applyAlignment="1">
      <alignment horizontal="center" wrapText="1"/>
    </xf>
    <xf numFmtId="0" fontId="0" fillId="33" borderId="15" xfId="0" applyFont="1" applyFill="1" applyBorder="1" applyAlignment="1">
      <alignment horizontal="left" wrapText="1"/>
    </xf>
    <xf numFmtId="0" fontId="0" fillId="33" borderId="16" xfId="0" applyFont="1" applyFill="1" applyBorder="1" applyAlignment="1">
      <alignment horizontal="left" wrapText="1"/>
    </xf>
    <xf numFmtId="0" fontId="0" fillId="33" borderId="14" xfId="0" applyFont="1" applyFill="1" applyBorder="1" applyAlignment="1">
      <alignment horizontal="left" wrapText="1"/>
    </xf>
    <xf numFmtId="0" fontId="0" fillId="33" borderId="12" xfId="0" applyFont="1" applyFill="1" applyBorder="1" applyAlignment="1">
      <alignment horizontal="left" wrapText="1"/>
    </xf>
    <xf numFmtId="0" fontId="0" fillId="33" borderId="0" xfId="0" applyFont="1" applyFill="1" applyBorder="1" applyAlignment="1">
      <alignment horizontal="left" wrapText="1"/>
    </xf>
    <xf numFmtId="0" fontId="0" fillId="33" borderId="17" xfId="0" applyFont="1" applyFill="1" applyBorder="1" applyAlignment="1">
      <alignment horizontal="left" wrapText="1"/>
    </xf>
    <xf numFmtId="0" fontId="0" fillId="33" borderId="26" xfId="0" applyFont="1" applyFill="1" applyBorder="1" applyAlignment="1">
      <alignment horizontal="left" wrapText="1"/>
    </xf>
    <xf numFmtId="0" fontId="0" fillId="33" borderId="23" xfId="0" applyFont="1" applyFill="1" applyBorder="1" applyAlignment="1">
      <alignment horizontal="left" wrapText="1"/>
    </xf>
    <xf numFmtId="0" fontId="0" fillId="33" borderId="27" xfId="0" applyFont="1" applyFill="1" applyBorder="1" applyAlignment="1">
      <alignment horizontal="left" wrapText="1"/>
    </xf>
    <xf numFmtId="0" fontId="2" fillId="38" borderId="0" xfId="0" applyFont="1" applyFill="1" applyAlignment="1" applyProtection="1">
      <alignment horizontal="left"/>
      <protection locked="0"/>
    </xf>
    <xf numFmtId="0" fontId="0" fillId="38" borderId="0" xfId="0" applyFill="1" applyAlignment="1" applyProtection="1">
      <alignment horizontal="left"/>
      <protection locked="0"/>
    </xf>
    <xf numFmtId="0" fontId="3" fillId="0" borderId="42" xfId="0" applyFont="1" applyBorder="1" applyAlignment="1">
      <alignment horizontal="center" wrapText="1"/>
    </xf>
    <xf numFmtId="14" fontId="0" fillId="0" borderId="0" xfId="0" applyNumberFormat="1" applyAlignment="1">
      <alignment horizontal="left"/>
    </xf>
    <xf numFmtId="0" fontId="0" fillId="0" borderId="0" xfId="0" applyAlignment="1">
      <alignment horizontal="left"/>
    </xf>
    <xf numFmtId="171" fontId="0" fillId="0" borderId="16" xfId="0" applyNumberFormat="1" applyBorder="1" applyAlignment="1">
      <alignment horizontal="left"/>
    </xf>
    <xf numFmtId="170" fontId="0" fillId="0" borderId="16" xfId="0" applyNumberFormat="1" applyBorder="1" applyAlignment="1">
      <alignment horizontal="left"/>
    </xf>
    <xf numFmtId="0" fontId="0" fillId="0" borderId="16" xfId="0" applyBorder="1" applyAlignment="1">
      <alignment horizontal="left"/>
    </xf>
    <xf numFmtId="165" fontId="0" fillId="0" borderId="0" xfId="0" applyNumberFormat="1" applyAlignment="1">
      <alignment horizontal="left"/>
    </xf>
    <xf numFmtId="0" fontId="0" fillId="0" borderId="0" xfId="0" applyAlignment="1">
      <alignment horizontal="center"/>
    </xf>
    <xf numFmtId="0" fontId="0" fillId="0" borderId="0" xfId="0" applyAlignment="1">
      <alignment horizontal="center" vertical="center" wrapText="1"/>
    </xf>
    <xf numFmtId="0" fontId="45" fillId="0" borderId="0" xfId="0" applyFont="1" applyAlignment="1">
      <alignment horizontal="center"/>
    </xf>
    <xf numFmtId="2" fontId="0" fillId="0" borderId="0" xfId="0" applyNumberFormat="1" applyAlignment="1">
      <alignment horizontal="left"/>
    </xf>
    <xf numFmtId="2" fontId="0" fillId="0" borderId="16" xfId="0" applyNumberFormat="1" applyBorder="1" applyAlignment="1">
      <alignment horizontal="left"/>
    </xf>
    <xf numFmtId="49" fontId="0" fillId="38" borderId="10" xfId="0" applyNumberFormat="1" applyFill="1" applyBorder="1" applyAlignment="1" applyProtection="1">
      <alignment horizontal="left"/>
      <protection locked="0"/>
    </xf>
    <xf numFmtId="14" fontId="0" fillId="38" borderId="10" xfId="0" applyNumberFormat="1" applyFill="1" applyBorder="1" applyAlignment="1" applyProtection="1">
      <alignment horizontal="left"/>
      <protection locked="0"/>
    </xf>
    <xf numFmtId="16" fontId="0" fillId="38" borderId="10" xfId="0" applyNumberFormat="1" applyFill="1" applyBorder="1" applyAlignment="1" applyProtection="1">
      <alignment horizontal="left"/>
      <protection locked="0"/>
    </xf>
    <xf numFmtId="49" fontId="7" fillId="38" borderId="10" xfId="0" applyNumberFormat="1" applyFont="1" applyFill="1" applyBorder="1" applyAlignment="1" applyProtection="1">
      <alignment horizontal="left"/>
      <protection locked="0"/>
    </xf>
    <xf numFmtId="14" fontId="7" fillId="38" borderId="10" xfId="0" applyNumberFormat="1" applyFont="1" applyFill="1" applyBorder="1" applyAlignment="1" applyProtection="1">
      <alignment horizontal="left"/>
      <protection locked="0"/>
    </xf>
    <xf numFmtId="0" fontId="7" fillId="38" borderId="10" xfId="0" applyFont="1" applyFill="1" applyBorder="1" applyAlignment="1" applyProtection="1">
      <alignment horizontal="left"/>
      <protection locked="0"/>
    </xf>
    <xf numFmtId="9" fontId="7" fillId="38" borderId="10"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8" formatCode="0.000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47625</xdr:rowOff>
    </xdr:from>
    <xdr:to>
      <xdr:col>10</xdr:col>
      <xdr:colOff>9525</xdr:colOff>
      <xdr:row>3</xdr:row>
      <xdr:rowOff>57150</xdr:rowOff>
    </xdr:to>
    <xdr:sp>
      <xdr:nvSpPr>
        <xdr:cNvPr id="1" name="Rectangle 1"/>
        <xdr:cNvSpPr>
          <a:spLocks/>
        </xdr:cNvSpPr>
      </xdr:nvSpPr>
      <xdr:spPr>
        <a:xfrm>
          <a:off x="2447925" y="47625"/>
          <a:ext cx="36576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200" b="1" i="0" u="none" baseline="0">
              <a:solidFill>
                <a:srgbClr val="000000"/>
              </a:solidFill>
            </a:rPr>
            <a:t>TST Calculator v1.8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4</xdr:col>
      <xdr:colOff>342900</xdr:colOff>
      <xdr:row>2</xdr:row>
      <xdr:rowOff>0</xdr:rowOff>
    </xdr:to>
    <xdr:sp>
      <xdr:nvSpPr>
        <xdr:cNvPr id="1" name="Rectangle 6"/>
        <xdr:cNvSpPr>
          <a:spLocks/>
        </xdr:cNvSpPr>
      </xdr:nvSpPr>
      <xdr:spPr>
        <a:xfrm>
          <a:off x="19050" y="19050"/>
          <a:ext cx="3467100" cy="304800"/>
        </a:xfrm>
        <a:prstGeom prst="rect">
          <a:avLst/>
        </a:prstGeom>
        <a:solidFill>
          <a:srgbClr val="99FF99"/>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Click here to clear</a:t>
          </a:r>
          <a:r>
            <a:rPr lang="en-US" cap="none" sz="1100" b="1" i="0" u="none" baseline="0">
              <a:solidFill>
                <a:srgbClr val="000000"/>
              </a:solidFill>
            </a:rPr>
            <a:t> input cells and enter new dataset</a:t>
          </a:r>
        </a:p>
      </xdr:txBody>
    </xdr:sp>
    <xdr:clientData/>
  </xdr:twoCellAnchor>
  <xdr:twoCellAnchor>
    <xdr:from>
      <xdr:col>17</xdr:col>
      <xdr:colOff>971550</xdr:colOff>
      <xdr:row>30</xdr:row>
      <xdr:rowOff>9525</xdr:rowOff>
    </xdr:from>
    <xdr:to>
      <xdr:col>19</xdr:col>
      <xdr:colOff>847725</xdr:colOff>
      <xdr:row>32</xdr:row>
      <xdr:rowOff>152400</xdr:rowOff>
    </xdr:to>
    <xdr:sp macro="[0]!subSaveData">
      <xdr:nvSpPr>
        <xdr:cNvPr id="2" name="TextBox 3"/>
        <xdr:cNvSpPr txBox="1">
          <a:spLocks noChangeArrowheads="1"/>
        </xdr:cNvSpPr>
      </xdr:nvSpPr>
      <xdr:spPr>
        <a:xfrm>
          <a:off x="10239375" y="4867275"/>
          <a:ext cx="3362325" cy="4667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Click here to save data to "Statistics"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962025</xdr:colOff>
      <xdr:row>29</xdr:row>
      <xdr:rowOff>152400</xdr:rowOff>
    </xdr:from>
    <xdr:to>
      <xdr:col>19</xdr:col>
      <xdr:colOff>838200</xdr:colOff>
      <xdr:row>32</xdr:row>
      <xdr:rowOff>133350</xdr:rowOff>
    </xdr:to>
    <xdr:sp macro="[0]!subSaveData">
      <xdr:nvSpPr>
        <xdr:cNvPr id="1" name="TextBox 1"/>
        <xdr:cNvSpPr txBox="1">
          <a:spLocks noChangeArrowheads="1"/>
        </xdr:cNvSpPr>
      </xdr:nvSpPr>
      <xdr:spPr>
        <a:xfrm>
          <a:off x="10229850" y="4867275"/>
          <a:ext cx="3362325" cy="4667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Click here to save data to "Statistics" worksheet</a:t>
          </a:r>
        </a:p>
      </xdr:txBody>
    </xdr:sp>
    <xdr:clientData/>
  </xdr:twoCellAnchor>
  <xdr:twoCellAnchor>
    <xdr:from>
      <xdr:col>0</xdr:col>
      <xdr:colOff>19050</xdr:colOff>
      <xdr:row>0</xdr:row>
      <xdr:rowOff>19050</xdr:rowOff>
    </xdr:from>
    <xdr:to>
      <xdr:col>4</xdr:col>
      <xdr:colOff>342900</xdr:colOff>
      <xdr:row>2</xdr:row>
      <xdr:rowOff>0</xdr:rowOff>
    </xdr:to>
    <xdr:sp macro="[0]!ClearData">
      <xdr:nvSpPr>
        <xdr:cNvPr id="2" name="Rectangle 2"/>
        <xdr:cNvSpPr>
          <a:spLocks/>
        </xdr:cNvSpPr>
      </xdr:nvSpPr>
      <xdr:spPr>
        <a:xfrm>
          <a:off x="19050" y="19050"/>
          <a:ext cx="3467100" cy="314325"/>
        </a:xfrm>
        <a:prstGeom prst="rect">
          <a:avLst/>
        </a:prstGeom>
        <a:solidFill>
          <a:srgbClr val="99FF99"/>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Click here to clear</a:t>
          </a:r>
          <a:r>
            <a:rPr lang="en-US" cap="none" sz="1100" b="1" i="0" u="none" baseline="0">
              <a:solidFill>
                <a:srgbClr val="000000"/>
              </a:solidFill>
            </a:rPr>
            <a:t> input cells and enter new dataset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V64"/>
  <sheetViews>
    <sheetView tabSelected="1" zoomScalePageLayoutView="0" workbookViewId="0" topLeftCell="A1">
      <selection activeCell="P22" sqref="P22"/>
    </sheetView>
  </sheetViews>
  <sheetFormatPr defaultColWidth="9.140625" defaultRowHeight="12.75"/>
  <sheetData>
    <row r="3" ht="12.75">
      <c r="A3" s="1"/>
    </row>
    <row r="5" spans="1:22" ht="18" customHeight="1">
      <c r="A5" s="165" t="s">
        <v>110</v>
      </c>
      <c r="B5" s="166"/>
      <c r="C5" s="166"/>
      <c r="D5" s="104"/>
      <c r="E5" s="104"/>
      <c r="F5" s="104"/>
      <c r="G5" s="104"/>
      <c r="H5" s="104"/>
      <c r="I5" s="104"/>
      <c r="J5" s="104"/>
      <c r="K5" s="104"/>
      <c r="L5" s="104"/>
      <c r="M5" s="104"/>
      <c r="N5" s="105"/>
      <c r="P5" s="151" t="s">
        <v>116</v>
      </c>
      <c r="Q5" s="152"/>
      <c r="R5" s="152"/>
      <c r="S5" s="152"/>
      <c r="T5" s="153"/>
      <c r="U5" s="37"/>
      <c r="V5" s="37"/>
    </row>
    <row r="6" spans="1:22" ht="12.75">
      <c r="A6" s="106"/>
      <c r="B6" s="107"/>
      <c r="C6" s="107"/>
      <c r="D6" s="107"/>
      <c r="E6" s="107"/>
      <c r="F6" s="107"/>
      <c r="G6" s="107"/>
      <c r="H6" s="107"/>
      <c r="I6" s="107"/>
      <c r="J6" s="107"/>
      <c r="K6" s="107"/>
      <c r="L6" s="107"/>
      <c r="M6" s="107"/>
      <c r="N6" s="108"/>
      <c r="P6" s="154"/>
      <c r="Q6" s="155"/>
      <c r="R6" s="155"/>
      <c r="S6" s="155"/>
      <c r="T6" s="156"/>
      <c r="U6" s="37"/>
      <c r="V6" s="37"/>
    </row>
    <row r="7" spans="1:22" ht="12.75" customHeight="1">
      <c r="A7" s="167" t="s">
        <v>117</v>
      </c>
      <c r="B7" s="168"/>
      <c r="C7" s="168"/>
      <c r="D7" s="168"/>
      <c r="E7" s="168"/>
      <c r="F7" s="168"/>
      <c r="G7" s="168"/>
      <c r="H7" s="168"/>
      <c r="I7" s="168"/>
      <c r="J7" s="168"/>
      <c r="K7" s="168"/>
      <c r="L7" s="168"/>
      <c r="M7" s="168"/>
      <c r="N7" s="169"/>
      <c r="P7" s="154"/>
      <c r="Q7" s="155"/>
      <c r="R7" s="155"/>
      <c r="S7" s="155"/>
      <c r="T7" s="156"/>
      <c r="U7" s="37"/>
      <c r="V7" s="37"/>
    </row>
    <row r="8" spans="1:20" ht="12.75">
      <c r="A8" s="167"/>
      <c r="B8" s="168"/>
      <c r="C8" s="168"/>
      <c r="D8" s="168"/>
      <c r="E8" s="168"/>
      <c r="F8" s="168"/>
      <c r="G8" s="168"/>
      <c r="H8" s="168"/>
      <c r="I8" s="168"/>
      <c r="J8" s="168"/>
      <c r="K8" s="168"/>
      <c r="L8" s="168"/>
      <c r="M8" s="168"/>
      <c r="N8" s="169"/>
      <c r="P8" s="154"/>
      <c r="Q8" s="155"/>
      <c r="R8" s="155"/>
      <c r="S8" s="155"/>
      <c r="T8" s="156"/>
    </row>
    <row r="9" spans="1:20" ht="12.75">
      <c r="A9" s="167"/>
      <c r="B9" s="168"/>
      <c r="C9" s="168"/>
      <c r="D9" s="168"/>
      <c r="E9" s="168"/>
      <c r="F9" s="168"/>
      <c r="G9" s="168"/>
      <c r="H9" s="168"/>
      <c r="I9" s="168"/>
      <c r="J9" s="168"/>
      <c r="K9" s="168"/>
      <c r="L9" s="168"/>
      <c r="M9" s="168"/>
      <c r="N9" s="169"/>
      <c r="P9" s="109" t="s">
        <v>35</v>
      </c>
      <c r="Q9" s="110"/>
      <c r="R9" s="110"/>
      <c r="S9" s="110"/>
      <c r="T9" s="111"/>
    </row>
    <row r="10" spans="1:20" ht="12.75">
      <c r="A10" s="167"/>
      <c r="B10" s="168"/>
      <c r="C10" s="168"/>
      <c r="D10" s="168"/>
      <c r="E10" s="168"/>
      <c r="F10" s="168"/>
      <c r="G10" s="168"/>
      <c r="H10" s="168"/>
      <c r="I10" s="168"/>
      <c r="J10" s="168"/>
      <c r="K10" s="168"/>
      <c r="L10" s="168"/>
      <c r="M10" s="168"/>
      <c r="N10" s="169"/>
      <c r="P10" s="109" t="s">
        <v>36</v>
      </c>
      <c r="Q10" s="110"/>
      <c r="R10" s="110"/>
      <c r="S10" s="110"/>
      <c r="T10" s="111"/>
    </row>
    <row r="11" spans="1:20" ht="12.75">
      <c r="A11" s="167"/>
      <c r="B11" s="168"/>
      <c r="C11" s="168"/>
      <c r="D11" s="168"/>
      <c r="E11" s="168"/>
      <c r="F11" s="168"/>
      <c r="G11" s="168"/>
      <c r="H11" s="168"/>
      <c r="I11" s="168"/>
      <c r="J11" s="168"/>
      <c r="K11" s="168"/>
      <c r="L11" s="168"/>
      <c r="M11" s="168"/>
      <c r="N11" s="169"/>
      <c r="P11" s="109" t="s">
        <v>37</v>
      </c>
      <c r="Q11" s="112"/>
      <c r="R11" s="112"/>
      <c r="S11" s="112"/>
      <c r="T11" s="113"/>
    </row>
    <row r="12" spans="1:20" ht="12.75">
      <c r="A12" s="167"/>
      <c r="B12" s="168"/>
      <c r="C12" s="168"/>
      <c r="D12" s="168"/>
      <c r="E12" s="168"/>
      <c r="F12" s="168"/>
      <c r="G12" s="168"/>
      <c r="H12" s="168"/>
      <c r="I12" s="168"/>
      <c r="J12" s="168"/>
      <c r="K12" s="168"/>
      <c r="L12" s="168"/>
      <c r="M12" s="168"/>
      <c r="N12" s="169"/>
      <c r="P12" s="114" t="s">
        <v>38</v>
      </c>
      <c r="Q12" s="115"/>
      <c r="R12" s="115"/>
      <c r="S12" s="115"/>
      <c r="T12" s="116"/>
    </row>
    <row r="13" spans="1:20" ht="12.75">
      <c r="A13" s="170"/>
      <c r="B13" s="171"/>
      <c r="C13" s="171"/>
      <c r="D13" s="171"/>
      <c r="E13" s="171"/>
      <c r="F13" s="171"/>
      <c r="G13" s="171"/>
      <c r="H13" s="171"/>
      <c r="I13" s="171"/>
      <c r="J13" s="171"/>
      <c r="K13" s="171"/>
      <c r="L13" s="171"/>
      <c r="M13" s="171"/>
      <c r="N13" s="172"/>
      <c r="P13" s="85"/>
      <c r="Q13" s="77"/>
      <c r="R13" s="77"/>
      <c r="S13" s="77"/>
      <c r="T13" s="77"/>
    </row>
    <row r="14" spans="16:20" ht="12.75">
      <c r="P14" s="48"/>
      <c r="Q14" s="14"/>
      <c r="R14" s="14"/>
      <c r="S14" s="14"/>
      <c r="T14" s="14"/>
    </row>
    <row r="15" spans="1:15" ht="17.25">
      <c r="A15" s="157" t="s">
        <v>61</v>
      </c>
      <c r="B15" s="158"/>
      <c r="C15" s="50"/>
      <c r="D15" s="50"/>
      <c r="E15" s="50"/>
      <c r="F15" s="50"/>
      <c r="G15" s="50"/>
      <c r="H15" s="50"/>
      <c r="I15" s="50"/>
      <c r="J15" s="50"/>
      <c r="K15" s="50"/>
      <c r="L15" s="50"/>
      <c r="M15" s="50"/>
      <c r="N15" s="51"/>
      <c r="O15" s="14"/>
    </row>
    <row r="16" spans="1:15" ht="12.75">
      <c r="A16" s="52"/>
      <c r="B16" s="53"/>
      <c r="C16" s="53"/>
      <c r="D16" s="53"/>
      <c r="E16" s="53"/>
      <c r="F16" s="53"/>
      <c r="G16" s="53"/>
      <c r="H16" s="53"/>
      <c r="I16" s="53"/>
      <c r="J16" s="53"/>
      <c r="K16" s="53"/>
      <c r="L16" s="53"/>
      <c r="M16" s="53"/>
      <c r="N16" s="54"/>
      <c r="O16" s="14"/>
    </row>
    <row r="17" spans="1:15" ht="12.75">
      <c r="A17" s="52" t="s">
        <v>62</v>
      </c>
      <c r="B17" s="53"/>
      <c r="C17" s="53"/>
      <c r="D17" s="53"/>
      <c r="E17" s="53"/>
      <c r="F17" s="53"/>
      <c r="G17" s="53"/>
      <c r="H17" s="53"/>
      <c r="I17" s="53"/>
      <c r="J17" s="53"/>
      <c r="K17" s="53"/>
      <c r="L17" s="53"/>
      <c r="M17" s="53"/>
      <c r="N17" s="54"/>
      <c r="O17" s="14"/>
    </row>
    <row r="18" spans="1:15" ht="12.75">
      <c r="A18" s="52" t="s">
        <v>77</v>
      </c>
      <c r="B18" s="53"/>
      <c r="C18" s="53"/>
      <c r="D18" s="53"/>
      <c r="E18" s="53"/>
      <c r="F18" s="53"/>
      <c r="G18" s="53"/>
      <c r="H18" s="53"/>
      <c r="I18" s="53"/>
      <c r="J18" s="53"/>
      <c r="K18" s="53"/>
      <c r="L18" s="53"/>
      <c r="M18" s="53"/>
      <c r="N18" s="54"/>
      <c r="O18" s="14"/>
    </row>
    <row r="19" spans="1:15" ht="12.75">
      <c r="A19" s="55" t="s">
        <v>63</v>
      </c>
      <c r="B19" s="53" t="s">
        <v>68</v>
      </c>
      <c r="C19" s="53"/>
      <c r="D19" s="53"/>
      <c r="E19" s="53"/>
      <c r="F19" s="53"/>
      <c r="G19" s="53"/>
      <c r="H19" s="53"/>
      <c r="I19" s="53"/>
      <c r="J19" s="53"/>
      <c r="K19" s="53"/>
      <c r="L19" s="53"/>
      <c r="M19" s="53"/>
      <c r="N19" s="54"/>
      <c r="O19" s="14"/>
    </row>
    <row r="20" spans="1:15" ht="12.75">
      <c r="A20" s="55" t="s">
        <v>64</v>
      </c>
      <c r="B20" s="53" t="s">
        <v>69</v>
      </c>
      <c r="C20" s="53"/>
      <c r="D20" s="53"/>
      <c r="E20" s="53"/>
      <c r="F20" s="53"/>
      <c r="G20" s="53"/>
      <c r="H20" s="53"/>
      <c r="I20" s="53"/>
      <c r="J20" s="53"/>
      <c r="K20" s="53"/>
      <c r="L20" s="53"/>
      <c r="M20" s="53"/>
      <c r="N20" s="54"/>
      <c r="O20" s="14"/>
    </row>
    <row r="21" spans="1:15" ht="12.75">
      <c r="A21" s="55" t="s">
        <v>65</v>
      </c>
      <c r="B21" s="53" t="s">
        <v>71</v>
      </c>
      <c r="C21" s="53"/>
      <c r="D21" s="53"/>
      <c r="E21" s="53"/>
      <c r="F21" s="53"/>
      <c r="G21" s="53"/>
      <c r="H21" s="53"/>
      <c r="I21" s="53"/>
      <c r="J21" s="53"/>
      <c r="K21" s="53"/>
      <c r="L21" s="53"/>
      <c r="M21" s="53"/>
      <c r="N21" s="54"/>
      <c r="O21" s="14"/>
    </row>
    <row r="22" spans="1:15" ht="12.75">
      <c r="A22" s="55" t="s">
        <v>66</v>
      </c>
      <c r="B22" s="53" t="s">
        <v>72</v>
      </c>
      <c r="C22" s="53"/>
      <c r="D22" s="53"/>
      <c r="E22" s="53"/>
      <c r="F22" s="53"/>
      <c r="G22" s="53"/>
      <c r="H22" s="53"/>
      <c r="I22" s="53"/>
      <c r="J22" s="53"/>
      <c r="K22" s="53"/>
      <c r="L22" s="53"/>
      <c r="M22" s="53"/>
      <c r="N22" s="54"/>
      <c r="O22" s="14"/>
    </row>
    <row r="23" spans="1:15" ht="12.75">
      <c r="A23" s="55" t="s">
        <v>67</v>
      </c>
      <c r="B23" s="53" t="s">
        <v>73</v>
      </c>
      <c r="C23" s="53"/>
      <c r="D23" s="53"/>
      <c r="E23" s="53"/>
      <c r="F23" s="53"/>
      <c r="G23" s="53"/>
      <c r="H23" s="53"/>
      <c r="I23" s="53"/>
      <c r="J23" s="53"/>
      <c r="K23" s="53"/>
      <c r="L23" s="53"/>
      <c r="M23" s="53"/>
      <c r="N23" s="54"/>
      <c r="O23" s="14"/>
    </row>
    <row r="24" spans="1:15" ht="12.75">
      <c r="A24" s="56" t="s">
        <v>70</v>
      </c>
      <c r="B24" s="53" t="s">
        <v>74</v>
      </c>
      <c r="C24" s="53"/>
      <c r="D24" s="53"/>
      <c r="E24" s="53"/>
      <c r="F24" s="53"/>
      <c r="G24" s="53"/>
      <c r="H24" s="53"/>
      <c r="I24" s="53"/>
      <c r="J24" s="53"/>
      <c r="K24" s="53"/>
      <c r="L24" s="53"/>
      <c r="M24" s="53"/>
      <c r="N24" s="54"/>
      <c r="O24" s="14"/>
    </row>
    <row r="25" spans="1:15" ht="12.75">
      <c r="A25" s="56" t="s">
        <v>75</v>
      </c>
      <c r="B25" s="53" t="s">
        <v>83</v>
      </c>
      <c r="C25" s="53"/>
      <c r="D25" s="53"/>
      <c r="E25" s="53"/>
      <c r="F25" s="53"/>
      <c r="G25" s="53"/>
      <c r="H25" s="53"/>
      <c r="I25" s="53"/>
      <c r="J25" s="53"/>
      <c r="K25" s="53"/>
      <c r="L25" s="53"/>
      <c r="M25" s="53"/>
      <c r="N25" s="54"/>
      <c r="O25" s="14"/>
    </row>
    <row r="26" spans="1:15" ht="12.75">
      <c r="A26" s="57" t="s">
        <v>76</v>
      </c>
      <c r="B26" s="53"/>
      <c r="C26" s="53"/>
      <c r="D26" s="53"/>
      <c r="E26" s="53"/>
      <c r="F26" s="53"/>
      <c r="G26" s="53"/>
      <c r="H26" s="53"/>
      <c r="I26" s="53"/>
      <c r="J26" s="53"/>
      <c r="K26" s="53"/>
      <c r="L26" s="53"/>
      <c r="M26" s="53"/>
      <c r="N26" s="54"/>
      <c r="O26" s="14"/>
    </row>
    <row r="27" spans="1:15" ht="12.75">
      <c r="A27" s="55" t="s">
        <v>63</v>
      </c>
      <c r="B27" s="53" t="s">
        <v>80</v>
      </c>
      <c r="C27" s="53"/>
      <c r="D27" s="53"/>
      <c r="E27" s="53"/>
      <c r="F27" s="53"/>
      <c r="G27" s="53"/>
      <c r="H27" s="53"/>
      <c r="I27" s="53"/>
      <c r="J27" s="53"/>
      <c r="K27" s="53"/>
      <c r="L27" s="53"/>
      <c r="M27" s="53"/>
      <c r="N27" s="54"/>
      <c r="O27" s="14"/>
    </row>
    <row r="28" spans="1:15" ht="12.75">
      <c r="A28" s="55" t="s">
        <v>64</v>
      </c>
      <c r="B28" s="53" t="s">
        <v>78</v>
      </c>
      <c r="C28" s="53"/>
      <c r="D28" s="53"/>
      <c r="E28" s="53"/>
      <c r="F28" s="53"/>
      <c r="G28" s="53"/>
      <c r="H28" s="53"/>
      <c r="I28" s="53"/>
      <c r="J28" s="53"/>
      <c r="K28" s="53"/>
      <c r="L28" s="53"/>
      <c r="M28" s="53"/>
      <c r="N28" s="54"/>
      <c r="O28" s="14"/>
    </row>
    <row r="29" spans="1:15" ht="12.75">
      <c r="A29" s="55" t="s">
        <v>65</v>
      </c>
      <c r="B29" s="53" t="s">
        <v>81</v>
      </c>
      <c r="C29" s="53"/>
      <c r="D29" s="53"/>
      <c r="E29" s="53"/>
      <c r="F29" s="53"/>
      <c r="G29" s="53"/>
      <c r="H29" s="53"/>
      <c r="I29" s="53"/>
      <c r="J29" s="53"/>
      <c r="K29" s="53"/>
      <c r="L29" s="53"/>
      <c r="M29" s="53"/>
      <c r="N29" s="54"/>
      <c r="O29" s="14"/>
    </row>
    <row r="30" spans="1:15" ht="12.75">
      <c r="A30" s="55" t="s">
        <v>66</v>
      </c>
      <c r="B30" s="53" t="s">
        <v>82</v>
      </c>
      <c r="C30" s="53"/>
      <c r="D30" s="53"/>
      <c r="E30" s="53"/>
      <c r="F30" s="53"/>
      <c r="G30" s="53"/>
      <c r="H30" s="53"/>
      <c r="I30" s="53"/>
      <c r="J30" s="53"/>
      <c r="K30" s="53"/>
      <c r="L30" s="53"/>
      <c r="M30" s="53"/>
      <c r="N30" s="54"/>
      <c r="O30" s="14"/>
    </row>
    <row r="31" spans="1:15" ht="12.75">
      <c r="A31" s="57"/>
      <c r="B31" s="53"/>
      <c r="C31" s="53"/>
      <c r="D31" s="53"/>
      <c r="E31" s="53"/>
      <c r="F31" s="53"/>
      <c r="G31" s="53"/>
      <c r="H31" s="53"/>
      <c r="I31" s="53"/>
      <c r="J31" s="53"/>
      <c r="K31" s="53"/>
      <c r="L31" s="53"/>
      <c r="M31" s="53"/>
      <c r="N31" s="54"/>
      <c r="O31" s="14"/>
    </row>
    <row r="32" spans="1:15" ht="12.75">
      <c r="A32" s="57"/>
      <c r="B32" s="53"/>
      <c r="C32" s="53"/>
      <c r="D32" s="53"/>
      <c r="E32" s="53"/>
      <c r="F32" s="53"/>
      <c r="G32" s="53"/>
      <c r="H32" s="53"/>
      <c r="I32" s="53"/>
      <c r="J32" s="53"/>
      <c r="K32" s="53"/>
      <c r="L32" s="53"/>
      <c r="M32" s="53"/>
      <c r="N32" s="54"/>
      <c r="O32" s="14"/>
    </row>
    <row r="33" spans="1:15" ht="12.75">
      <c r="A33" s="52" t="s">
        <v>79</v>
      </c>
      <c r="B33" s="53"/>
      <c r="C33" s="53"/>
      <c r="D33" s="53"/>
      <c r="E33" s="53"/>
      <c r="F33" s="53"/>
      <c r="G33" s="53"/>
      <c r="H33" s="53"/>
      <c r="I33" s="53"/>
      <c r="J33" s="53"/>
      <c r="K33" s="53"/>
      <c r="L33" s="53"/>
      <c r="M33" s="53"/>
      <c r="N33" s="54"/>
      <c r="O33" s="14"/>
    </row>
    <row r="34" spans="1:15" ht="12.75" customHeight="1">
      <c r="A34" s="97" t="s">
        <v>144</v>
      </c>
      <c r="B34" s="95"/>
      <c r="C34" s="95"/>
      <c r="D34" s="95"/>
      <c r="E34" s="95"/>
      <c r="F34" s="95"/>
      <c r="G34" s="95"/>
      <c r="H34" s="95"/>
      <c r="I34" s="95"/>
      <c r="J34" s="95"/>
      <c r="K34" s="95"/>
      <c r="L34" s="95"/>
      <c r="M34" s="95"/>
      <c r="N34" s="96"/>
      <c r="O34" s="14"/>
    </row>
    <row r="35" spans="1:15" ht="12.75">
      <c r="A35" s="123" t="s">
        <v>134</v>
      </c>
      <c r="B35" s="53" t="s">
        <v>145</v>
      </c>
      <c r="C35" s="95"/>
      <c r="D35" s="95"/>
      <c r="E35" s="95"/>
      <c r="F35" s="95"/>
      <c r="G35" s="95"/>
      <c r="H35" s="95"/>
      <c r="I35" s="95"/>
      <c r="J35" s="95"/>
      <c r="K35" s="95"/>
      <c r="L35" s="95"/>
      <c r="M35" s="95"/>
      <c r="N35" s="96"/>
      <c r="O35" s="14"/>
    </row>
    <row r="36" spans="1:15" ht="12.75">
      <c r="A36" s="57" t="s">
        <v>133</v>
      </c>
      <c r="B36" s="95"/>
      <c r="C36" s="95"/>
      <c r="D36" s="95"/>
      <c r="E36" s="95"/>
      <c r="F36" s="95"/>
      <c r="G36" s="95"/>
      <c r="H36" s="95"/>
      <c r="I36" s="95"/>
      <c r="J36" s="95"/>
      <c r="K36" s="95"/>
      <c r="L36" s="95"/>
      <c r="M36" s="95"/>
      <c r="N36" s="96"/>
      <c r="O36" s="14"/>
    </row>
    <row r="37" spans="1:15" ht="12.75">
      <c r="A37" s="123" t="s">
        <v>134</v>
      </c>
      <c r="B37" s="53" t="s">
        <v>146</v>
      </c>
      <c r="C37" s="53"/>
      <c r="D37" s="53"/>
      <c r="E37" s="53"/>
      <c r="F37" s="53"/>
      <c r="G37" s="53"/>
      <c r="H37" s="53"/>
      <c r="I37" s="53"/>
      <c r="J37" s="53"/>
      <c r="K37" s="53"/>
      <c r="L37" s="53"/>
      <c r="M37" s="53"/>
      <c r="N37" s="54"/>
      <c r="O37" s="14"/>
    </row>
    <row r="38" spans="1:15" ht="12.75">
      <c r="A38" s="123" t="s">
        <v>134</v>
      </c>
      <c r="B38" s="53" t="s">
        <v>135</v>
      </c>
      <c r="C38" s="53"/>
      <c r="D38" s="53"/>
      <c r="E38" s="53"/>
      <c r="F38" s="53"/>
      <c r="G38" s="53"/>
      <c r="H38" s="53"/>
      <c r="I38" s="53"/>
      <c r="J38" s="53"/>
      <c r="K38" s="53"/>
      <c r="L38" s="53"/>
      <c r="M38" s="53"/>
      <c r="N38" s="54"/>
      <c r="O38" s="14"/>
    </row>
    <row r="39" spans="1:15" ht="12.75">
      <c r="A39" s="123" t="s">
        <v>134</v>
      </c>
      <c r="B39" s="53" t="s">
        <v>136</v>
      </c>
      <c r="C39" s="53"/>
      <c r="D39" s="53"/>
      <c r="E39" s="53"/>
      <c r="F39" s="53"/>
      <c r="G39" s="53"/>
      <c r="H39" s="53"/>
      <c r="I39" s="53"/>
      <c r="J39" s="53"/>
      <c r="K39" s="53"/>
      <c r="L39" s="53"/>
      <c r="M39" s="53"/>
      <c r="N39" s="54"/>
      <c r="O39" s="14"/>
    </row>
    <row r="40" spans="1:15" ht="12.75">
      <c r="A40" s="52" t="s">
        <v>127</v>
      </c>
      <c r="B40" s="53"/>
      <c r="C40" s="53"/>
      <c r="D40" s="53"/>
      <c r="E40" s="53"/>
      <c r="F40" s="53"/>
      <c r="G40" s="53"/>
      <c r="H40" s="53"/>
      <c r="I40" s="53"/>
      <c r="J40" s="53"/>
      <c r="K40" s="53"/>
      <c r="L40" s="53"/>
      <c r="M40" s="53"/>
      <c r="N40" s="54"/>
      <c r="O40" s="14"/>
    </row>
    <row r="41" spans="1:15" ht="12.75">
      <c r="A41" s="52" t="s">
        <v>131</v>
      </c>
      <c r="B41" s="53"/>
      <c r="C41" s="53"/>
      <c r="D41" s="53"/>
      <c r="E41" s="53"/>
      <c r="F41" s="53"/>
      <c r="G41" s="53"/>
      <c r="H41" s="53"/>
      <c r="I41" s="53"/>
      <c r="J41" s="53"/>
      <c r="K41" s="53"/>
      <c r="L41" s="53"/>
      <c r="M41" s="53"/>
      <c r="N41" s="54"/>
      <c r="O41" s="14"/>
    </row>
    <row r="42" spans="1:15" ht="12.75">
      <c r="A42" s="52" t="s">
        <v>125</v>
      </c>
      <c r="B42" s="53"/>
      <c r="C42" s="53"/>
      <c r="D42" s="53"/>
      <c r="E42" s="53"/>
      <c r="F42" s="53"/>
      <c r="G42" s="53"/>
      <c r="H42" s="53"/>
      <c r="I42" s="53"/>
      <c r="J42" s="53"/>
      <c r="K42" s="53"/>
      <c r="L42" s="53"/>
      <c r="M42" s="53"/>
      <c r="N42" s="54"/>
      <c r="O42" s="14"/>
    </row>
    <row r="43" spans="1:15" ht="12.75">
      <c r="A43" s="52" t="s">
        <v>126</v>
      </c>
      <c r="B43" s="53"/>
      <c r="C43" s="53"/>
      <c r="D43" s="53"/>
      <c r="E43" s="53"/>
      <c r="F43" s="53"/>
      <c r="G43" s="53"/>
      <c r="H43" s="53"/>
      <c r="I43" s="53"/>
      <c r="J43" s="53"/>
      <c r="K43" s="53"/>
      <c r="L43" s="53"/>
      <c r="M43" s="53"/>
      <c r="N43" s="54"/>
      <c r="O43" s="14"/>
    </row>
    <row r="44" spans="1:15" ht="12.75">
      <c r="A44" s="123" t="s">
        <v>134</v>
      </c>
      <c r="B44" s="53" t="s">
        <v>147</v>
      </c>
      <c r="C44" s="53"/>
      <c r="D44" s="53"/>
      <c r="E44" s="53"/>
      <c r="F44" s="53"/>
      <c r="G44" s="53"/>
      <c r="H44" s="53"/>
      <c r="I44" s="53"/>
      <c r="J44" s="53"/>
      <c r="K44" s="53"/>
      <c r="L44" s="53"/>
      <c r="M44" s="53"/>
      <c r="N44" s="54"/>
      <c r="O44" s="14"/>
    </row>
    <row r="45" spans="1:15" ht="12.75">
      <c r="A45" s="57" t="s">
        <v>151</v>
      </c>
      <c r="B45" s="53"/>
      <c r="C45" s="53"/>
      <c r="D45" s="53"/>
      <c r="E45" s="53"/>
      <c r="F45" s="53"/>
      <c r="G45" s="53"/>
      <c r="H45" s="53"/>
      <c r="I45" s="53"/>
      <c r="J45" s="53"/>
      <c r="K45" s="53"/>
      <c r="L45" s="53"/>
      <c r="M45" s="53"/>
      <c r="N45" s="54"/>
      <c r="O45" s="14"/>
    </row>
    <row r="46" spans="1:15" ht="12.75">
      <c r="A46" s="52" t="s">
        <v>152</v>
      </c>
      <c r="B46" s="53"/>
      <c r="C46" s="53"/>
      <c r="D46" s="53"/>
      <c r="E46" s="53"/>
      <c r="F46" s="53"/>
      <c r="G46" s="53"/>
      <c r="H46" s="53"/>
      <c r="I46" s="53"/>
      <c r="J46" s="53"/>
      <c r="K46" s="53"/>
      <c r="L46" s="53"/>
      <c r="M46" s="53"/>
      <c r="N46" s="54"/>
      <c r="O46" s="14"/>
    </row>
    <row r="47" spans="1:15" ht="12.75">
      <c r="A47" s="123" t="s">
        <v>134</v>
      </c>
      <c r="B47" s="53" t="s">
        <v>130</v>
      </c>
      <c r="C47" s="53"/>
      <c r="D47" s="53"/>
      <c r="E47" s="53"/>
      <c r="F47" s="53"/>
      <c r="G47" s="53"/>
      <c r="H47" s="53"/>
      <c r="I47" s="53"/>
      <c r="J47" s="53"/>
      <c r="K47" s="53"/>
      <c r="L47" s="53"/>
      <c r="M47" s="53"/>
      <c r="N47" s="54"/>
      <c r="O47" s="14"/>
    </row>
    <row r="48" spans="1:15" ht="12.75">
      <c r="A48" s="123" t="s">
        <v>134</v>
      </c>
      <c r="B48" s="53" t="s">
        <v>150</v>
      </c>
      <c r="C48" s="53"/>
      <c r="D48" s="53"/>
      <c r="E48" s="53"/>
      <c r="F48" s="53"/>
      <c r="G48" s="53"/>
      <c r="H48" s="53"/>
      <c r="I48" s="53"/>
      <c r="J48" s="53"/>
      <c r="K48" s="53"/>
      <c r="L48" s="53"/>
      <c r="M48" s="53"/>
      <c r="N48" s="54"/>
      <c r="O48" s="14"/>
    </row>
    <row r="49" spans="1:15" ht="12.75">
      <c r="A49" s="52" t="s">
        <v>148</v>
      </c>
      <c r="B49" s="53"/>
      <c r="C49" s="53"/>
      <c r="D49" s="53"/>
      <c r="E49" s="53"/>
      <c r="F49" s="53"/>
      <c r="G49" s="53"/>
      <c r="H49" s="53"/>
      <c r="I49" s="53"/>
      <c r="J49" s="53"/>
      <c r="K49" s="53"/>
      <c r="L49" s="53"/>
      <c r="M49" s="53"/>
      <c r="N49" s="54"/>
      <c r="O49" s="14"/>
    </row>
    <row r="50" spans="1:15" ht="12.75">
      <c r="A50" s="52" t="s">
        <v>149</v>
      </c>
      <c r="B50" s="53"/>
      <c r="C50" s="53"/>
      <c r="D50" s="53"/>
      <c r="E50" s="53"/>
      <c r="F50" s="53"/>
      <c r="G50" s="53"/>
      <c r="H50" s="53"/>
      <c r="I50" s="53"/>
      <c r="J50" s="53"/>
      <c r="K50" s="53"/>
      <c r="L50" s="53"/>
      <c r="M50" s="53"/>
      <c r="N50" s="54"/>
      <c r="O50" s="14"/>
    </row>
    <row r="51" spans="1:15" ht="12.75">
      <c r="A51" s="52"/>
      <c r="B51" s="53"/>
      <c r="C51" s="53"/>
      <c r="D51" s="53"/>
      <c r="E51" s="53"/>
      <c r="F51" s="53"/>
      <c r="G51" s="53"/>
      <c r="H51" s="53"/>
      <c r="I51" s="53"/>
      <c r="J51" s="53"/>
      <c r="K51" s="53"/>
      <c r="L51" s="53"/>
      <c r="M51" s="53"/>
      <c r="N51" s="54"/>
      <c r="O51" s="14"/>
    </row>
    <row r="52" spans="1:15" ht="12.75" customHeight="1">
      <c r="A52" s="52" t="s">
        <v>108</v>
      </c>
      <c r="B52" s="53"/>
      <c r="C52" s="53"/>
      <c r="D52" s="53"/>
      <c r="E52" s="53"/>
      <c r="F52" s="53"/>
      <c r="G52" s="53"/>
      <c r="H52" s="53"/>
      <c r="I52" s="53"/>
      <c r="J52" s="53"/>
      <c r="K52" s="53"/>
      <c r="L52" s="53"/>
      <c r="M52" s="53"/>
      <c r="N52" s="54"/>
      <c r="O52" s="14"/>
    </row>
    <row r="53" spans="1:15" ht="12.75">
      <c r="A53" s="159" t="s">
        <v>109</v>
      </c>
      <c r="B53" s="160"/>
      <c r="C53" s="160"/>
      <c r="D53" s="160"/>
      <c r="E53" s="160"/>
      <c r="F53" s="160"/>
      <c r="G53" s="160"/>
      <c r="H53" s="160"/>
      <c r="I53" s="160"/>
      <c r="J53" s="160"/>
      <c r="K53" s="160"/>
      <c r="L53" s="160"/>
      <c r="M53" s="160"/>
      <c r="N53" s="161"/>
      <c r="O53" s="14"/>
    </row>
    <row r="54" spans="1:15" ht="12.75">
      <c r="A54" s="159"/>
      <c r="B54" s="160"/>
      <c r="C54" s="160"/>
      <c r="D54" s="160"/>
      <c r="E54" s="160"/>
      <c r="F54" s="160"/>
      <c r="G54" s="160"/>
      <c r="H54" s="160"/>
      <c r="I54" s="160"/>
      <c r="J54" s="160"/>
      <c r="K54" s="160"/>
      <c r="L54" s="160"/>
      <c r="M54" s="160"/>
      <c r="N54" s="161"/>
      <c r="O54" s="14"/>
    </row>
    <row r="55" spans="1:14" ht="12.75">
      <c r="A55" s="162"/>
      <c r="B55" s="163"/>
      <c r="C55" s="163"/>
      <c r="D55" s="163"/>
      <c r="E55" s="163"/>
      <c r="F55" s="163"/>
      <c r="G55" s="163"/>
      <c r="H55" s="163"/>
      <c r="I55" s="163"/>
      <c r="J55" s="163"/>
      <c r="K55" s="163"/>
      <c r="L55" s="163"/>
      <c r="M55" s="163"/>
      <c r="N55" s="164"/>
    </row>
    <row r="56" ht="12.75" customHeight="1"/>
    <row r="57" spans="10:11" ht="12.75">
      <c r="J57" s="37"/>
      <c r="K57" s="37"/>
    </row>
    <row r="58" spans="10:11" ht="12.75">
      <c r="J58" s="37"/>
      <c r="K58" s="37"/>
    </row>
    <row r="59" spans="10:11" ht="12.75">
      <c r="J59" s="37"/>
      <c r="K59" s="37"/>
    </row>
    <row r="60" spans="10:11" ht="12.75">
      <c r="J60" s="47"/>
      <c r="K60" s="47"/>
    </row>
    <row r="61" spans="10:11" ht="12.75">
      <c r="J61" s="48"/>
      <c r="K61" s="48"/>
    </row>
    <row r="62" spans="10:11" ht="12.75">
      <c r="J62" s="48"/>
      <c r="K62" s="48"/>
    </row>
    <row r="63" spans="10:11" ht="12.75">
      <c r="J63" s="48"/>
      <c r="K63" s="48"/>
    </row>
    <row r="64" spans="10:11" ht="12.75">
      <c r="J64" s="48"/>
      <c r="K64" s="48"/>
    </row>
  </sheetData>
  <sheetProtection password="CD0C" sheet="1" selectLockedCells="1" selectUnlockedCells="1"/>
  <mergeCells count="5">
    <mergeCell ref="P5:T8"/>
    <mergeCell ref="A15:B15"/>
    <mergeCell ref="A53:N55"/>
    <mergeCell ref="A5:C5"/>
    <mergeCell ref="A7:N13"/>
  </mergeCells>
  <printOptions/>
  <pageMargins left="0.7" right="0.7" top="0.75" bottom="0.75" header="0.3" footer="0.3"/>
  <pageSetup fitToHeight="1" fitToWidth="1" horizontalDpi="600" verticalDpi="600" orientation="landscape" scale="68" r:id="rId2"/>
  <ignoredErrors>
    <ignoredError sqref="A19:A25 A27:A30" numberStoredAsText="1"/>
  </ignoredErrors>
  <drawing r:id="rId1"/>
</worksheet>
</file>

<file path=xl/worksheets/sheet2.xml><?xml version="1.0" encoding="utf-8"?>
<worksheet xmlns="http://schemas.openxmlformats.org/spreadsheetml/2006/main" xmlns:r="http://schemas.openxmlformats.org/officeDocument/2006/relationships">
  <sheetPr codeName="Sheet2"/>
  <dimension ref="B2:L11"/>
  <sheetViews>
    <sheetView zoomScalePageLayoutView="0" workbookViewId="0" topLeftCell="A1">
      <selection activeCell="A1" sqref="A1"/>
    </sheetView>
  </sheetViews>
  <sheetFormatPr defaultColWidth="9.140625" defaultRowHeight="12.75"/>
  <sheetData>
    <row r="2" spans="2:10" ht="12.75" customHeight="1">
      <c r="B2" s="149"/>
      <c r="C2" s="149"/>
      <c r="D2" s="149"/>
      <c r="E2" s="149"/>
      <c r="F2" s="149"/>
      <c r="G2" s="149"/>
      <c r="H2" s="149"/>
      <c r="I2" s="149"/>
      <c r="J2" s="149"/>
    </row>
    <row r="4" spans="2:12" ht="12.75">
      <c r="B4" s="173" t="s">
        <v>159</v>
      </c>
      <c r="C4" s="173"/>
      <c r="D4" s="173"/>
      <c r="E4" s="173"/>
      <c r="F4" s="173"/>
      <c r="G4" s="173"/>
      <c r="H4" s="173"/>
      <c r="I4" s="173"/>
      <c r="J4" s="173"/>
      <c r="K4" s="173"/>
      <c r="L4" s="173"/>
    </row>
    <row r="5" spans="2:12" ht="12.75">
      <c r="B5" s="173"/>
      <c r="C5" s="173"/>
      <c r="D5" s="173"/>
      <c r="E5" s="173"/>
      <c r="F5" s="173"/>
      <c r="G5" s="173"/>
      <c r="H5" s="173"/>
      <c r="I5" s="173"/>
      <c r="J5" s="173"/>
      <c r="K5" s="173"/>
      <c r="L5" s="173"/>
    </row>
    <row r="6" spans="2:12" ht="12.75">
      <c r="B6" s="173"/>
      <c r="C6" s="173"/>
      <c r="D6" s="173"/>
      <c r="E6" s="173"/>
      <c r="F6" s="173"/>
      <c r="G6" s="173"/>
      <c r="H6" s="173"/>
      <c r="I6" s="173"/>
      <c r="J6" s="173"/>
      <c r="K6" s="173"/>
      <c r="L6" s="173"/>
    </row>
    <row r="7" spans="2:12" ht="12.75">
      <c r="B7" s="173"/>
      <c r="C7" s="173"/>
      <c r="D7" s="173"/>
      <c r="E7" s="173"/>
      <c r="F7" s="173"/>
      <c r="G7" s="173"/>
      <c r="H7" s="173"/>
      <c r="I7" s="173"/>
      <c r="J7" s="173"/>
      <c r="K7" s="173"/>
      <c r="L7" s="173"/>
    </row>
    <row r="8" spans="2:12" ht="12.75">
      <c r="B8" s="173"/>
      <c r="C8" s="173"/>
      <c r="D8" s="173"/>
      <c r="E8" s="173"/>
      <c r="F8" s="173"/>
      <c r="G8" s="173"/>
      <c r="H8" s="173"/>
      <c r="I8" s="173"/>
      <c r="J8" s="173"/>
      <c r="K8" s="173"/>
      <c r="L8" s="173"/>
    </row>
    <row r="9" spans="2:12" ht="12.75">
      <c r="B9" s="173"/>
      <c r="C9" s="173"/>
      <c r="D9" s="173"/>
      <c r="E9" s="173"/>
      <c r="F9" s="173"/>
      <c r="G9" s="173"/>
      <c r="H9" s="173"/>
      <c r="I9" s="173"/>
      <c r="J9" s="173"/>
      <c r="K9" s="173"/>
      <c r="L9" s="173"/>
    </row>
    <row r="10" spans="2:12" ht="12.75">
      <c r="B10" s="174"/>
      <c r="C10" s="174"/>
      <c r="D10" s="174"/>
      <c r="E10" s="174"/>
      <c r="F10" s="174"/>
      <c r="G10" s="174"/>
      <c r="H10" s="174"/>
      <c r="I10" s="174"/>
      <c r="J10" s="174"/>
      <c r="K10" s="174"/>
      <c r="L10" s="174"/>
    </row>
    <row r="11" spans="2:12" ht="12.75">
      <c r="B11" s="174"/>
      <c r="C11" s="174"/>
      <c r="D11" s="174"/>
      <c r="E11" s="174"/>
      <c r="F11" s="174"/>
      <c r="G11" s="174"/>
      <c r="H11" s="174"/>
      <c r="I11" s="174"/>
      <c r="J11" s="174"/>
      <c r="K11" s="174"/>
      <c r="L11" s="174"/>
    </row>
  </sheetData>
  <sheetProtection password="CD0C" sheet="1" selectLockedCells="1" selectUnlockedCells="1"/>
  <mergeCells count="1">
    <mergeCell ref="B4:L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Calc1">
    <pageSetUpPr fitToPage="1"/>
  </sheetPr>
  <dimension ref="A1:Y58"/>
  <sheetViews>
    <sheetView zoomScalePageLayoutView="0" workbookViewId="0" topLeftCell="A1">
      <selection activeCell="B4" sqref="B4:E4"/>
    </sheetView>
  </sheetViews>
  <sheetFormatPr defaultColWidth="9.140625" defaultRowHeight="12.75"/>
  <cols>
    <col min="1" max="1" width="12.00390625" style="0" bestFit="1" customWidth="1"/>
    <col min="2" max="5" width="11.7109375" style="0" customWidth="1"/>
    <col min="6" max="6" width="7.57421875" style="5" hidden="1" customWidth="1"/>
    <col min="7" max="7" width="7.8515625" style="5" hidden="1" customWidth="1"/>
    <col min="8" max="8" width="5.7109375" style="5" customWidth="1"/>
    <col min="9" max="9" width="13.28125" style="20" customWidth="1"/>
    <col min="10" max="10" width="13.28125" style="29" bestFit="1" customWidth="1"/>
    <col min="11" max="11" width="24.421875" style="25" hidden="1" customWidth="1"/>
    <col min="12" max="12" width="31.7109375" style="5" hidden="1" customWidth="1"/>
    <col min="13" max="13" width="24.421875" style="5" hidden="1" customWidth="1"/>
    <col min="14" max="14" width="5.7109375" style="5" customWidth="1"/>
    <col min="15" max="15" width="6.8515625" style="5" bestFit="1" customWidth="1"/>
    <col min="16" max="16" width="21.57421875" style="0" customWidth="1"/>
    <col min="17" max="17" width="13.7109375" style="0" bestFit="1" customWidth="1"/>
    <col min="18" max="18" width="39.421875" style="0" customWidth="1"/>
    <col min="19" max="20" width="12.8515625" style="0" customWidth="1"/>
    <col min="21" max="21" width="11.57421875" style="0" bestFit="1" customWidth="1"/>
    <col min="22" max="24" width="7.8515625" style="0" customWidth="1"/>
  </cols>
  <sheetData>
    <row r="1" spans="11:20" ht="12.75">
      <c r="K1" s="32" t="s">
        <v>85</v>
      </c>
      <c r="L1" s="32" t="s">
        <v>85</v>
      </c>
      <c r="M1" s="32" t="s">
        <v>85</v>
      </c>
      <c r="N1" s="124"/>
      <c r="O1" s="175" t="s">
        <v>11</v>
      </c>
      <c r="P1" s="176"/>
      <c r="Q1" s="31" t="s">
        <v>39</v>
      </c>
      <c r="R1" s="1"/>
      <c r="T1" s="3" t="s">
        <v>3</v>
      </c>
    </row>
    <row r="2" spans="11:20" ht="12.75">
      <c r="K2" s="24" t="s">
        <v>31</v>
      </c>
      <c r="L2" s="27" t="s">
        <v>95</v>
      </c>
      <c r="M2" s="26" t="s">
        <v>24</v>
      </c>
      <c r="N2" s="14"/>
      <c r="O2" s="38" t="s">
        <v>12</v>
      </c>
      <c r="P2" s="67"/>
      <c r="Q2" s="68" t="s">
        <v>13</v>
      </c>
      <c r="T2" s="9" t="s">
        <v>4</v>
      </c>
    </row>
    <row r="3" spans="11:20" ht="12.75">
      <c r="K3" s="24" t="s">
        <v>32</v>
      </c>
      <c r="L3" s="27" t="s">
        <v>89</v>
      </c>
      <c r="M3" s="26" t="s">
        <v>23</v>
      </c>
      <c r="N3" s="14"/>
      <c r="O3" s="16" t="s">
        <v>120</v>
      </c>
      <c r="P3" s="66" t="s">
        <v>42</v>
      </c>
      <c r="Q3" s="36" t="s">
        <v>40</v>
      </c>
      <c r="T3" s="19" t="s">
        <v>19</v>
      </c>
    </row>
    <row r="4" spans="1:20" ht="12.75" customHeight="1">
      <c r="A4" s="6" t="s">
        <v>160</v>
      </c>
      <c r="B4" s="240" t="s">
        <v>163</v>
      </c>
      <c r="C4" s="240"/>
      <c r="D4" s="240"/>
      <c r="E4" s="240"/>
      <c r="H4" s="60"/>
      <c r="I4" s="60"/>
      <c r="J4" s="5"/>
      <c r="K4" s="24" t="s">
        <v>33</v>
      </c>
      <c r="L4" s="27" t="s">
        <v>90</v>
      </c>
      <c r="M4" s="27"/>
      <c r="N4" s="14"/>
      <c r="O4" s="177" t="s">
        <v>43</v>
      </c>
      <c r="P4" s="178" t="s">
        <v>122</v>
      </c>
      <c r="Q4" s="15"/>
      <c r="T4" s="9" t="s">
        <v>4</v>
      </c>
    </row>
    <row r="5" spans="1:25" ht="12.75" customHeight="1">
      <c r="A5" s="6" t="s">
        <v>161</v>
      </c>
      <c r="B5" s="240" t="s">
        <v>164</v>
      </c>
      <c r="C5" s="240"/>
      <c r="D5" s="240"/>
      <c r="E5" s="240"/>
      <c r="F5" s="60"/>
      <c r="G5" s="60"/>
      <c r="I5" s="5"/>
      <c r="J5" s="5"/>
      <c r="K5" s="24" t="s">
        <v>30</v>
      </c>
      <c r="L5" s="27" t="s">
        <v>86</v>
      </c>
      <c r="M5" s="27"/>
      <c r="N5" s="14"/>
      <c r="O5" s="177"/>
      <c r="P5" s="178"/>
      <c r="Q5" s="15"/>
      <c r="T5" s="19" t="s">
        <v>20</v>
      </c>
      <c r="X5" s="2"/>
      <c r="Y5" s="4"/>
    </row>
    <row r="6" spans="1:25" ht="12.75" customHeight="1">
      <c r="A6" s="6" t="s">
        <v>47</v>
      </c>
      <c r="B6" s="243" t="s">
        <v>128</v>
      </c>
      <c r="C6" s="243"/>
      <c r="D6" s="243"/>
      <c r="E6" s="243"/>
      <c r="I6" s="5"/>
      <c r="J6" s="5"/>
      <c r="K6" s="24" t="s">
        <v>34</v>
      </c>
      <c r="L6" s="27" t="s">
        <v>103</v>
      </c>
      <c r="M6" s="26"/>
      <c r="N6" s="14"/>
      <c r="O6" s="177"/>
      <c r="P6" s="178"/>
      <c r="Q6" s="15"/>
      <c r="S6" s="10"/>
      <c r="T6" s="9" t="s">
        <v>4</v>
      </c>
      <c r="U6" s="11"/>
      <c r="X6" s="2"/>
      <c r="Y6" s="4"/>
    </row>
    <row r="7" spans="1:21" ht="12.75" customHeight="1">
      <c r="A7" s="6" t="s">
        <v>48</v>
      </c>
      <c r="B7" s="244">
        <v>40514</v>
      </c>
      <c r="C7" s="244"/>
      <c r="D7" s="244"/>
      <c r="E7" s="244"/>
      <c r="I7" s="5"/>
      <c r="J7" s="5"/>
      <c r="K7" s="24" t="s">
        <v>29</v>
      </c>
      <c r="L7" s="27" t="s">
        <v>91</v>
      </c>
      <c r="M7" s="26"/>
      <c r="N7" s="14"/>
      <c r="O7" s="177"/>
      <c r="P7" s="178"/>
      <c r="Q7" s="15"/>
      <c r="S7" s="20"/>
      <c r="T7" s="3" t="s">
        <v>7</v>
      </c>
      <c r="U7" s="3"/>
    </row>
    <row r="8" spans="1:21" ht="12.75" customHeight="1">
      <c r="A8" s="6" t="s">
        <v>57</v>
      </c>
      <c r="B8" s="245" t="s">
        <v>124</v>
      </c>
      <c r="C8" s="245"/>
      <c r="D8" s="245"/>
      <c r="E8" s="245"/>
      <c r="H8" s="14"/>
      <c r="I8" s="5"/>
      <c r="J8" s="5"/>
      <c r="K8" s="24" t="s">
        <v>28</v>
      </c>
      <c r="L8" s="27" t="s">
        <v>93</v>
      </c>
      <c r="M8" s="26"/>
      <c r="N8" s="14"/>
      <c r="O8" s="177" t="s">
        <v>44</v>
      </c>
      <c r="P8" s="206" t="s">
        <v>156</v>
      </c>
      <c r="Q8" s="15"/>
      <c r="S8" s="7" t="s">
        <v>4</v>
      </c>
      <c r="U8" s="7" t="s">
        <v>4</v>
      </c>
    </row>
    <row r="9" spans="1:21" ht="12.75" customHeight="1">
      <c r="A9" s="6" t="s">
        <v>115</v>
      </c>
      <c r="B9" s="246">
        <v>0.38</v>
      </c>
      <c r="C9" s="246"/>
      <c r="D9" s="246"/>
      <c r="E9" s="246"/>
      <c r="F9" s="200" t="s">
        <v>46</v>
      </c>
      <c r="G9" s="200"/>
      <c r="H9" s="14"/>
      <c r="I9" s="5"/>
      <c r="J9" s="5"/>
      <c r="K9" s="24"/>
      <c r="L9" s="27" t="s">
        <v>99</v>
      </c>
      <c r="M9" s="26"/>
      <c r="N9" s="14"/>
      <c r="O9" s="177"/>
      <c r="P9" s="206"/>
      <c r="Q9" s="15"/>
      <c r="S9" s="3" t="s">
        <v>5</v>
      </c>
      <c r="U9" s="3" t="s">
        <v>6</v>
      </c>
    </row>
    <row r="10" spans="2:21" ht="12.75" customHeight="1" thickBot="1">
      <c r="B10" s="12"/>
      <c r="C10" s="59"/>
      <c r="D10" s="59"/>
      <c r="E10" s="59"/>
      <c r="F10" s="199"/>
      <c r="G10" s="200"/>
      <c r="H10" s="14"/>
      <c r="I10" s="5"/>
      <c r="J10" s="5"/>
      <c r="K10" s="24"/>
      <c r="L10" s="29" t="s">
        <v>100</v>
      </c>
      <c r="M10" s="26"/>
      <c r="N10" s="14"/>
      <c r="O10" s="177" t="s">
        <v>45</v>
      </c>
      <c r="P10" s="178" t="s">
        <v>157</v>
      </c>
      <c r="Q10" s="15"/>
      <c r="S10" s="3"/>
      <c r="U10" s="3"/>
    </row>
    <row r="11" spans="1:25" ht="12.75">
      <c r="A11" s="179" t="s">
        <v>123</v>
      </c>
      <c r="B11" s="209" t="s">
        <v>118</v>
      </c>
      <c r="C11" s="210"/>
      <c r="D11" s="209" t="s">
        <v>119</v>
      </c>
      <c r="E11" s="210"/>
      <c r="F11" s="199"/>
      <c r="G11" s="200"/>
      <c r="H11" s="14"/>
      <c r="I11" s="5"/>
      <c r="J11" s="5"/>
      <c r="K11" s="24"/>
      <c r="L11" s="27" t="s">
        <v>96</v>
      </c>
      <c r="M11" s="26"/>
      <c r="N11" s="14"/>
      <c r="O11" s="177"/>
      <c r="P11" s="178"/>
      <c r="Q11" s="15"/>
      <c r="S11" s="3" t="s">
        <v>8</v>
      </c>
      <c r="U11" s="3" t="s">
        <v>9</v>
      </c>
      <c r="X11" s="2"/>
      <c r="Y11" s="8"/>
    </row>
    <row r="12" spans="1:25" ht="12.75" customHeight="1">
      <c r="A12" s="180"/>
      <c r="B12" s="211" t="s">
        <v>129</v>
      </c>
      <c r="C12" s="214" t="s">
        <v>84</v>
      </c>
      <c r="D12" s="211" t="s">
        <v>129</v>
      </c>
      <c r="E12" s="214" t="s">
        <v>84</v>
      </c>
      <c r="F12" s="199"/>
      <c r="G12" s="200"/>
      <c r="H12" s="14"/>
      <c r="I12" s="5"/>
      <c r="J12" s="5"/>
      <c r="K12" s="24"/>
      <c r="L12" s="27" t="s">
        <v>92</v>
      </c>
      <c r="M12" s="26"/>
      <c r="O12" s="177"/>
      <c r="P12" s="178"/>
      <c r="Q12" s="15"/>
      <c r="S12" s="3" t="s">
        <v>112</v>
      </c>
      <c r="U12" s="3" t="s">
        <v>113</v>
      </c>
      <c r="X12" s="2"/>
      <c r="Y12" s="8"/>
    </row>
    <row r="13" spans="1:21" ht="12.75" customHeight="1">
      <c r="A13" s="180"/>
      <c r="B13" s="212"/>
      <c r="C13" s="215"/>
      <c r="D13" s="212"/>
      <c r="E13" s="215"/>
      <c r="F13" s="39" t="s">
        <v>0</v>
      </c>
      <c r="G13" s="39" t="s">
        <v>1</v>
      </c>
      <c r="H13" s="14"/>
      <c r="I13" s="87"/>
      <c r="J13" s="87"/>
      <c r="K13" s="24"/>
      <c r="L13" s="29" t="s">
        <v>104</v>
      </c>
      <c r="M13" s="26"/>
      <c r="O13" s="177"/>
      <c r="P13" s="178"/>
      <c r="Q13" s="69"/>
      <c r="R13" s="10"/>
      <c r="T13" s="11"/>
      <c r="U13" s="21"/>
    </row>
    <row r="14" spans="1:21" ht="12.75">
      <c r="A14" s="180"/>
      <c r="B14" s="212"/>
      <c r="C14" s="215"/>
      <c r="D14" s="212"/>
      <c r="E14" s="215"/>
      <c r="F14" s="72">
        <f>IF(AND(ISNUMBER(C16),$C$43="Yes"),C16/B16,"")</f>
        <v>1</v>
      </c>
      <c r="G14" s="72">
        <f>IF(AND(ISNUMBER(E16),$C$43="Yes"),E16/D16,"")</f>
        <v>0.9</v>
      </c>
      <c r="H14" s="14"/>
      <c r="I14" s="182" t="s">
        <v>21</v>
      </c>
      <c r="J14" s="183"/>
      <c r="K14" s="24"/>
      <c r="L14" s="29" t="s">
        <v>105</v>
      </c>
      <c r="M14" s="26"/>
      <c r="O14" s="177"/>
      <c r="P14" s="178"/>
      <c r="Q14" s="88"/>
      <c r="R14" s="3"/>
      <c r="T14" s="3"/>
      <c r="U14" s="21"/>
    </row>
    <row r="15" spans="1:21" ht="12.75" customHeight="1" thickBot="1">
      <c r="A15" s="181"/>
      <c r="B15" s="213"/>
      <c r="C15" s="216"/>
      <c r="D15" s="213"/>
      <c r="E15" s="216"/>
      <c r="F15" s="72">
        <f aca="true" t="shared" si="0" ref="F15:F25">IF(AND(ISNUMBER(C17),$C$43="Yes"),C17/B17,"")</f>
        <v>0.9</v>
      </c>
      <c r="G15" s="72">
        <f aca="true" t="shared" si="1" ref="G15:G25">IF(AND(ISNUMBER(E17),$C$43="Yes"),E17/D17,"")</f>
        <v>0.8</v>
      </c>
      <c r="H15" s="14"/>
      <c r="I15" s="22" t="s">
        <v>0</v>
      </c>
      <c r="J15" s="23" t="s">
        <v>115</v>
      </c>
      <c r="K15" s="24"/>
      <c r="L15" s="27" t="s">
        <v>98</v>
      </c>
      <c r="M15" s="26"/>
      <c r="O15" s="207"/>
      <c r="P15" s="208"/>
      <c r="Q15" s="70"/>
      <c r="R15" s="81"/>
      <c r="S15" s="81"/>
      <c r="T15" s="81"/>
      <c r="U15" s="21"/>
    </row>
    <row r="16" spans="1:24" ht="12.75" customHeight="1">
      <c r="A16" s="91">
        <v>1</v>
      </c>
      <c r="B16" s="117">
        <v>10</v>
      </c>
      <c r="C16" s="118">
        <v>10</v>
      </c>
      <c r="D16" s="117">
        <v>10</v>
      </c>
      <c r="E16" s="118">
        <v>9</v>
      </c>
      <c r="F16" s="72">
        <f t="shared" si="0"/>
        <v>1</v>
      </c>
      <c r="G16" s="72">
        <f t="shared" si="1"/>
        <v>0.9</v>
      </c>
      <c r="H16" s="14"/>
      <c r="I16" s="64">
        <f>IF(AND($C$43="Yes",ISNUMBER(F14),F14=0),ASIN(SQRT(1/(4*B16))),IF(AND($C$43="Yes",ISNUMBER(F14),F14=1),ASIN(SQRT(1-(1/(4*B16)))),IF(AND($C$43="Yes",ISNUMBER(F14)),ASIN(SQRT(F14)),"")))</f>
        <v>1.4120161121491357</v>
      </c>
      <c r="J16" s="64">
        <f>IF(AND($C$43="Yes",ISNUMBER(G14),G14=0),ASIN(SQRT(1/(4*D16))),IF(AND($C$43="Yes",ISNUMBER(G14),G14=1),ASIN(SQRT(1-(1/(4*D16)))),IF(AND($C$43="Yes",ISNUMBER(G14)),ASIN(SQRT(G14)),"")))</f>
        <v>1.2490457723982542</v>
      </c>
      <c r="K16" s="20"/>
      <c r="L16" s="27" t="s">
        <v>97</v>
      </c>
      <c r="M16" s="26"/>
      <c r="O16" s="35"/>
      <c r="P16" s="35"/>
      <c r="Q16" s="14"/>
      <c r="R16" s="73" t="s">
        <v>10</v>
      </c>
      <c r="S16" s="74" t="s">
        <v>0</v>
      </c>
      <c r="T16" s="23" t="s">
        <v>115</v>
      </c>
      <c r="V16" s="190" t="s">
        <v>41</v>
      </c>
      <c r="W16" s="191"/>
      <c r="X16" s="192"/>
    </row>
    <row r="17" spans="1:24" ht="12.75" customHeight="1">
      <c r="A17" s="92">
        <v>2</v>
      </c>
      <c r="B17" s="117">
        <v>10</v>
      </c>
      <c r="C17" s="118">
        <v>9</v>
      </c>
      <c r="D17" s="117">
        <v>10</v>
      </c>
      <c r="E17" s="118">
        <v>8</v>
      </c>
      <c r="F17" s="72">
        <f t="shared" si="0"/>
        <v>1</v>
      </c>
      <c r="G17" s="72">
        <f t="shared" si="1"/>
        <v>0.8</v>
      </c>
      <c r="I17" s="64">
        <f>IF(AND($C$43="Yes",ISNUMBER(F15),F15=0),ASIN(SQRT(1/(4*B17))),IF(AND($C$43="Yes",ISNUMBER(F15),F15=1),ASIN(SQRT(1-(1/(4*B17)))),IF(AND($C$43="Yes",ISNUMBER(F15)),ASIN(SQRT(F15)),"")))</f>
        <v>1.2490457723982542</v>
      </c>
      <c r="J17" s="64">
        <f>IF(AND($C$43="Yes",ISNUMBER(G15),G15=0),ASIN(SQRT(1/(4*D17))),IF(AND($C$43="Yes",ISNUMBER(G15),G15=1),ASIN(SQRT(1-(1/(4*D17)))),IF(AND($C$43="Yes",ISNUMBER(G15)),ASIN(SQRT(G15)),"")))</f>
        <v>1.1071487177940904</v>
      </c>
      <c r="K17" s="20"/>
      <c r="L17" s="65" t="s">
        <v>101</v>
      </c>
      <c r="M17" s="25"/>
      <c r="O17" s="184" t="s">
        <v>106</v>
      </c>
      <c r="P17" s="185"/>
      <c r="Q17" s="14"/>
      <c r="R17" s="6" t="str">
        <f>IF(AND($C$43="No",ISNUMBER(C16)),"Mean of Raw Data",IF(AND($C$43="Yes",ISNUMBER(C16)),"Percent Mean of Raw Data",""))</f>
        <v>Percent Mean of Raw Data</v>
      </c>
      <c r="S17" s="80">
        <f>IF(AND($C$43="No",ISNUMBER(C16)),AVERAGE(C16:C35),IF(AND($C$43="Yes",ISNUMBER(C16)),SUM(C16:C35)/SUM(B16:B35),""))</f>
        <v>0.975</v>
      </c>
      <c r="T17" s="80">
        <f>IF(AND($C$43="No",ISNUMBER(E16)),AVERAGE(E16:E35),IF(AND($C$43="Yes",ISNUMBER(E16)),SUM(E16:E35)/SUM(D16:D35),""))</f>
        <v>0.85</v>
      </c>
      <c r="V17" s="193"/>
      <c r="W17" s="194"/>
      <c r="X17" s="195"/>
    </row>
    <row r="18" spans="1:24" ht="12.75" customHeight="1">
      <c r="A18" s="92">
        <v>3</v>
      </c>
      <c r="B18" s="117">
        <v>10</v>
      </c>
      <c r="C18" s="118">
        <v>10</v>
      </c>
      <c r="D18" s="117">
        <v>10</v>
      </c>
      <c r="E18" s="118">
        <v>9</v>
      </c>
      <c r="F18" s="72">
        <f t="shared" si="0"/>
      </c>
      <c r="G18" s="72">
        <f t="shared" si="1"/>
      </c>
      <c r="H18" s="18"/>
      <c r="I18" s="64">
        <f>IF(AND($C$43="Yes",ISNUMBER(F16),F16=0),ASIN(SQRT(1/(4*B18))),IF(AND($C$43="Yes",ISNUMBER(F16),F16=1),ASIN(SQRT(1-(1/(4*B18)))),IF(AND($C$43="Yes",ISNUMBER(F16)),ASIN(SQRT(F16)),"")))</f>
        <v>1.4120161121491357</v>
      </c>
      <c r="J18" s="64">
        <f>IF(AND($C$43="Yes",ISNUMBER(G16),G16=0),ASIN(SQRT(1/(4*D18))),IF(AND($C$43="Yes",ISNUMBER(G16),G16=1),ASIN(SQRT(1-(1/(4*D18)))),IF(AND($C$43="Yes",ISNUMBER(G16)),ASIN(SQRT(G16)),"")))</f>
        <v>1.2490457723982542</v>
      </c>
      <c r="K18" s="20"/>
      <c r="L18" s="27" t="s">
        <v>87</v>
      </c>
      <c r="M18" s="25"/>
      <c r="O18" s="186"/>
      <c r="P18" s="187"/>
      <c r="Q18" s="14"/>
      <c r="R18" s="13" t="str">
        <f>IF(AND($C$43="No",ISNUMBER(C16)),"Mean used in Calculation (non-transformed)",IF(AND($C$43="Yes",ISNUMBER(C16)),"Mean used in Calcuation (transformed)",""))</f>
        <v>Mean used in Calcuation (transformed)</v>
      </c>
      <c r="S18" s="80">
        <f>IF(C43="NO",AVERAGE(C16:C35),IF(C43="YES",AVERAGE(I16:I35),""))</f>
        <v>1.3712735272114154</v>
      </c>
      <c r="T18" s="80">
        <f>IF(C43="NO",AVERAGE(E16:E35),IF(C43="YES",AVERAGE(J16:J35),""))</f>
        <v>1.1780972450961724</v>
      </c>
      <c r="V18" s="193"/>
      <c r="W18" s="194"/>
      <c r="X18" s="195"/>
    </row>
    <row r="19" spans="1:24" ht="12.75" customHeight="1">
      <c r="A19" s="92">
        <v>4</v>
      </c>
      <c r="B19" s="117">
        <v>10</v>
      </c>
      <c r="C19" s="118">
        <v>10</v>
      </c>
      <c r="D19" s="117">
        <v>10</v>
      </c>
      <c r="E19" s="118">
        <v>8</v>
      </c>
      <c r="F19" s="72">
        <f t="shared" si="0"/>
      </c>
      <c r="G19" s="72">
        <f t="shared" si="1"/>
      </c>
      <c r="H19"/>
      <c r="I19" s="64">
        <f>IF(AND($C$43="Yes",ISNUMBER(F17),F17=0),ASIN(SQRT(1/(4*B19))),IF(AND($C$43="Yes",ISNUMBER(F17),F17=1),ASIN(SQRT(1-(1/(4*B19)))),IF(AND($C$43="Yes",ISNUMBER(F17)),ASIN(SQRT(F17)),"")))</f>
        <v>1.4120161121491357</v>
      </c>
      <c r="J19" s="64">
        <f>IF(AND($C$43="Yes",ISNUMBER(G17),G17=0),ASIN(SQRT(1/(4*D19))),IF(AND($C$43="Yes",ISNUMBER(G17),G17=1),ASIN(SQRT(1-(1/(4*D19)))),IF(AND($C$43="Yes",ISNUMBER(G17)),ASIN(SQRT(G17)),"")))</f>
        <v>1.1071487177940904</v>
      </c>
      <c r="K19" s="20"/>
      <c r="L19" s="27" t="s">
        <v>88</v>
      </c>
      <c r="M19" s="25"/>
      <c r="O19" s="186"/>
      <c r="P19" s="187"/>
      <c r="Q19" s="14"/>
      <c r="R19" s="13" t="str">
        <f>IF(AND($C$43="No",ISNUMBER(C16)),"Variance used in Calculation (non-transformed)",IF(AND($C$43="Yes",ISNUMBER(C16)),"Variance used in Calcuation (transformed)",""))</f>
        <v>Variance used in Calcuation (transformed)</v>
      </c>
      <c r="S19" s="79">
        <f>IF(C43="NO",VAR(C16:C35),IF(C43="YES",VAR(I16:I35),""))</f>
        <v>0.006639832909629435</v>
      </c>
      <c r="T19" s="79">
        <f>IF(C43="NO",VAR(E16:E35),IF(C43="YES",VAR(J16:J35),""))</f>
        <v>0.0067115913684456805</v>
      </c>
      <c r="V19" s="193"/>
      <c r="W19" s="194"/>
      <c r="X19" s="195"/>
    </row>
    <row r="20" spans="1:24" ht="12.75" customHeight="1">
      <c r="A20" s="92">
        <v>5</v>
      </c>
      <c r="B20" s="117"/>
      <c r="C20" s="118"/>
      <c r="D20" s="119"/>
      <c r="E20" s="118"/>
      <c r="F20" s="72">
        <f t="shared" si="0"/>
      </c>
      <c r="G20" s="72">
        <f t="shared" si="1"/>
      </c>
      <c r="H20" s="18"/>
      <c r="I20" s="64">
        <f>IF(AND($C$43="Yes",ISNUMBER(F18),F18=0),ASIN(SQRT(1/(4*B20))),IF(AND($C$43="Yes",ISNUMBER(F18),F18=1),ASIN(SQRT(1-(1/(4*B20)))),IF(AND($C$43="Yes",ISNUMBER(F18)),ASIN(SQRT(F18)),"")))</f>
      </c>
      <c r="J20" s="64">
        <f>IF(AND($C$43="Yes",ISNUMBER(G18),G18=0),ASIN(SQRT(1/(4*D20))),IF(AND($C$43="Yes",ISNUMBER(G18),G18=1),ASIN(SQRT(1-(1/(4*D20)))),IF(AND($C$43="Yes",ISNUMBER(G18)),ASIN(SQRT(G18)),"")))</f>
      </c>
      <c r="K20" s="20"/>
      <c r="L20" s="29" t="s">
        <v>102</v>
      </c>
      <c r="M20" s="25"/>
      <c r="O20" s="188"/>
      <c r="P20" s="189"/>
      <c r="Q20" s="14"/>
      <c r="R20" s="13" t="str">
        <f>IF(AND($C$43="No",ISNUMBER(C16)),"Standard Deviation of Raw Data",IF(AND($C$43="Yes",ISNUMBER(C16)),"Standard Deviation of Transformed Data",""))</f>
        <v>Standard Deviation of Transformed Data</v>
      </c>
      <c r="S20" s="79">
        <f>IF(ISNUMBER(S19),SQRT(S19),"")</f>
        <v>0.08148516987544074</v>
      </c>
      <c r="T20" s="79">
        <f>IF(ISNUMBER(T19),SQRT(T19),"")</f>
        <v>0.081924302672929</v>
      </c>
      <c r="V20" s="193"/>
      <c r="W20" s="194"/>
      <c r="X20" s="195"/>
    </row>
    <row r="21" spans="1:24" ht="12.75" customHeight="1">
      <c r="A21" s="92">
        <v>6</v>
      </c>
      <c r="B21" s="117"/>
      <c r="C21" s="118"/>
      <c r="D21" s="119"/>
      <c r="E21" s="118"/>
      <c r="F21" s="72">
        <f t="shared" si="0"/>
      </c>
      <c r="G21" s="72">
        <f t="shared" si="1"/>
      </c>
      <c r="H21"/>
      <c r="I21" s="64">
        <f>IF(AND($C$43="Yes",ISNUMBER(F19),F19=0),ASIN(SQRT(1/(4*B21))),IF(AND($C$43="Yes",ISNUMBER(F19),F19=1),ASIN(SQRT(1-(1/(4*B21)))),IF(AND($C$43="Yes",ISNUMBER(F19)),ASIN(SQRT(F19)),"")))</f>
      </c>
      <c r="J21" s="64">
        <f>IF(AND($C$43="Yes",ISNUMBER(G19),G19=0),ASIN(SQRT(1/(4*D21))),IF(AND($C$43="Yes",ISNUMBER(G19),G19=1),ASIN(SQRT(1-(1/(4*D21)))),IF(AND($C$43="Yes",ISNUMBER(G19)),ASIN(SQRT(G19)),"")))</f>
      </c>
      <c r="K21" s="20"/>
      <c r="L21" s="27" t="s">
        <v>94</v>
      </c>
      <c r="M21" s="25"/>
      <c r="O21" s="37"/>
      <c r="P21" s="37"/>
      <c r="Q21" s="14"/>
      <c r="R21" s="13" t="str">
        <f>IF(AND($C$43="No",ISNUMBER(C16)),"CV of Raw Data",IF(AND($C$43="Yes",ISNUMBER(C16)),"CV of Transformed Data",""))</f>
        <v>CV of Transformed Data</v>
      </c>
      <c r="S21" s="79">
        <f>IF(ISNUMBER(S18),S20/S18,"")</f>
        <v>0.05942298765232256</v>
      </c>
      <c r="T21" s="79">
        <f>IF(ISNUMBER(T18),T20/T18,"")</f>
        <v>0.0695395078920172</v>
      </c>
      <c r="V21" s="196"/>
      <c r="W21" s="197"/>
      <c r="X21" s="198"/>
    </row>
    <row r="22" spans="1:24" ht="12.75" customHeight="1">
      <c r="A22" s="92">
        <v>7</v>
      </c>
      <c r="B22" s="117"/>
      <c r="C22" s="118"/>
      <c r="D22" s="119"/>
      <c r="E22" s="118"/>
      <c r="F22" s="72">
        <f t="shared" si="0"/>
      </c>
      <c r="G22" s="72">
        <f t="shared" si="1"/>
      </c>
      <c r="H22"/>
      <c r="I22" s="64">
        <f>IF(AND($C$43="Yes",ISNUMBER(F20),F20=0),ASIN(SQRT(1/(4*B22))),IF(AND($C$43="Yes",ISNUMBER(F20),F20=1),ASIN(SQRT(1-(1/(4*B22)))),IF(AND($C$43="Yes",ISNUMBER(F20)),ASIN(SQRT(F20)),"")))</f>
      </c>
      <c r="J22" s="64">
        <f>IF(AND($C$43="Yes",ISNUMBER(G20),G20=0),ASIN(SQRT(1/(4*D22))),IF(AND($C$43="Yes",ISNUMBER(G20),G20=1),ASIN(SQRT(1-(1/(4*D22)))),IF(AND($C$43="Yes",ISNUMBER(G20)),ASIN(SQRT(G20)),"")))</f>
      </c>
      <c r="K22" s="20"/>
      <c r="M22" s="25"/>
      <c r="O22" s="184" t="s">
        <v>132</v>
      </c>
      <c r="P22" s="185"/>
      <c r="Q22" s="5"/>
      <c r="R22" s="13" t="s">
        <v>2</v>
      </c>
      <c r="S22" s="28">
        <f>IF($C$43="NO",COUNT(C16:C35),IF($C$43="YES",COUNT(I16:I35),""))</f>
        <v>4</v>
      </c>
      <c r="T22" s="28">
        <f>IF($C$43="NO",COUNT(E16:E35),IF($C$43="YES",COUNT(J16:J35),""))</f>
        <v>4</v>
      </c>
      <c r="V22" s="201">
        <f>IF(AND(S19=0,T19=0),((AVERAGE(C16:C27)-AVERAGE(E16:E27))/AVERAGE(C16:C27))*100,"")</f>
      </c>
      <c r="W22" s="202"/>
      <c r="X22" s="203"/>
    </row>
    <row r="23" spans="1:20" ht="12.75">
      <c r="A23" s="92">
        <v>8</v>
      </c>
      <c r="B23" s="117"/>
      <c r="C23" s="118"/>
      <c r="D23" s="119"/>
      <c r="E23" s="118"/>
      <c r="F23" s="72">
        <f t="shared" si="0"/>
      </c>
      <c r="G23" s="72">
        <f t="shared" si="1"/>
      </c>
      <c r="I23" s="64">
        <f>IF(AND($C$43="Yes",ISNUMBER(F21),F21=0),ASIN(SQRT(1/(4*B23))),IF(AND($C$43="Yes",ISNUMBER(F21),F21=1),ASIN(SQRT(1-(1/(4*B23)))),IF(AND($C$43="Yes",ISNUMBER(F21)),ASIN(SQRT(F21)),"")))</f>
      </c>
      <c r="J23" s="64">
        <f>IF(AND($C$43="Yes",ISNUMBER(G21),G21=0),ASIN(SQRT(1/(4*D23))),IF(AND($C$43="Yes",ISNUMBER(G21),G21=1),ASIN(SQRT(1-(1/(4*D23)))),IF(AND($C$43="Yes",ISNUMBER(G21)),ASIN(SQRT(G21)),"")))</f>
      </c>
      <c r="K23" s="20"/>
      <c r="M23" s="25"/>
      <c r="O23" s="186"/>
      <c r="P23" s="187"/>
      <c r="Q23" s="5"/>
      <c r="R23" s="75"/>
      <c r="S23" s="76"/>
      <c r="T23" s="77"/>
    </row>
    <row r="24" spans="1:20" ht="12.75">
      <c r="A24" s="92">
        <v>9</v>
      </c>
      <c r="B24" s="117"/>
      <c r="C24" s="118"/>
      <c r="D24" s="119"/>
      <c r="E24" s="118"/>
      <c r="F24" s="72">
        <f t="shared" si="0"/>
      </c>
      <c r="G24" s="72">
        <f t="shared" si="1"/>
      </c>
      <c r="I24" s="64">
        <f>IF(AND($C$43="Yes",ISNUMBER(F22),F22=0),ASIN(SQRT(1/(4*B24))),IF(AND($C$43="Yes",ISNUMBER(F22),F22=1),ASIN(SQRT(1-(1/(4*B24)))),IF(AND($C$43="Yes",ISNUMBER(F22)),ASIN(SQRT(F22)),"")))</f>
      </c>
      <c r="J24" s="64">
        <f>IF(AND($C$43="Yes",ISNUMBER(G22),G22=0),ASIN(SQRT(1/(4*D24))),IF(AND($C$43="Yes",ISNUMBER(G22),G22=1),ASIN(SQRT(1-(1/(4*D24)))),IF(AND($C$43="Yes",ISNUMBER(G22)),ASIN(SQRT(G22)),"")))</f>
      </c>
      <c r="O24" s="188"/>
      <c r="P24" s="189"/>
      <c r="Q24" s="5"/>
      <c r="R24" s="13" t="s">
        <v>114</v>
      </c>
      <c r="S24" s="80">
        <f>IF(ISNUMBER(S17),((S17-T17)/S17)*100,"")</f>
        <v>12.820512820512823</v>
      </c>
      <c r="T24" s="78"/>
    </row>
    <row r="25" spans="1:15" ht="12.75" customHeight="1">
      <c r="A25" s="92">
        <v>10</v>
      </c>
      <c r="B25" s="117"/>
      <c r="C25" s="118"/>
      <c r="D25" s="119"/>
      <c r="E25" s="118"/>
      <c r="F25" s="72">
        <f t="shared" si="0"/>
      </c>
      <c r="G25" s="72">
        <f t="shared" si="1"/>
      </c>
      <c r="I25" s="64">
        <f>IF(AND($C$43="Yes",ISNUMBER(F23),F23=0),ASIN(SQRT(1/(4*B25))),IF(AND($C$43="Yes",ISNUMBER(F23),F23=1),ASIN(SQRT(1-(1/(4*B25)))),IF(AND($C$43="Yes",ISNUMBER(F23)),ASIN(SQRT(F23)),"")))</f>
      </c>
      <c r="J25" s="64">
        <f>IF(AND($C$43="Yes",ISNUMBER(G23),G23=0),ASIN(SQRT(1/(4*D25))),IF(AND($C$43="Yes",ISNUMBER(G23),G23=1),ASIN(SQRT(1-(1/(4*D25)))),IF(AND($C$43="Yes",ISNUMBER(G23)),ASIN(SQRT(G23)),"")))</f>
      </c>
      <c r="O25"/>
    </row>
    <row r="26" spans="1:19" ht="12.75">
      <c r="A26" s="92">
        <v>11</v>
      </c>
      <c r="B26" s="117"/>
      <c r="C26" s="118"/>
      <c r="D26" s="119"/>
      <c r="E26" s="118"/>
      <c r="F26"/>
      <c r="H26" s="93"/>
      <c r="I26" s="64">
        <f>IF(AND($C$43="Yes",ISNUMBER(F24),F24=0),ASIN(SQRT(1/(4*B26))),IF(AND($C$43="Yes",ISNUMBER(F24),F24=1),ASIN(SQRT(1-(1/(4*B26)))),IF(AND($C$43="Yes",ISNUMBER(F24)),ASIN(SQRT(F24)),"")))</f>
      </c>
      <c r="J26" s="64">
        <f>IF(AND($C$43="Yes",ISNUMBER(G24),G24=0),ASIN(SQRT(1/(4*D26))),IF(AND($C$43="Yes",ISNUMBER(G24),G24=1),ASIN(SQRT(1-(1/(4*D26)))),IF(AND($C$43="Yes",ISNUMBER(G24)),ASIN(SQRT(G24)),"")))</f>
      </c>
      <c r="K26" s="29"/>
      <c r="L26" s="25"/>
      <c r="O26" s="8"/>
      <c r="R26" s="40" t="s">
        <v>16</v>
      </c>
      <c r="S26" s="58">
        <f>IF(OR(C39="Click to choose from menu",C41="Click to choose from menu"),"",(T18-(C45*S18))/SQRT((T19/T22)+(((C45^2)*S19)/S22)))</f>
        <v>2.9281845116836482</v>
      </c>
    </row>
    <row r="27" spans="1:19" ht="12.75">
      <c r="A27" s="92">
        <v>12</v>
      </c>
      <c r="B27" s="117"/>
      <c r="C27" s="118"/>
      <c r="D27" s="119"/>
      <c r="E27" s="118"/>
      <c r="F27" s="93"/>
      <c r="G27" s="93"/>
      <c r="H27" s="20"/>
      <c r="I27" s="64">
        <f>IF(AND($C$43="Yes",ISNUMBER(F25),F25=0),ASIN(SQRT(1/(4*B27))),IF(AND($C$43="Yes",ISNUMBER(F25),F25=1),ASIN(SQRT(1-(1/(4*B27)))),IF(AND($C$43="Yes",ISNUMBER(F25)),ASIN(SQRT(F25)),"")))</f>
      </c>
      <c r="J27" s="64">
        <f>IF(AND($C$43="Yes",ISNUMBER(G25),G25=0),ASIN(SQRT(1/(4*D27))),IF(AND($C$43="Yes",ISNUMBER(G25),G25=1),ASIN(SQRT(1-(1/(4*D27)))),IF(AND($C$43="Yes",ISNUMBER(G25)),ASIN(SQRT(G25)),"")))</f>
      </c>
      <c r="K27" s="29"/>
      <c r="L27" s="25"/>
      <c r="R27" s="18" t="s">
        <v>18</v>
      </c>
      <c r="S27" s="28">
        <f>IF(OR(ISTEXT(C45),ISTEXT(C47),C41="Click to choose from menu"),"",INT(((((T19/T22)+((((C45)^2)*S19)/S22))^2))/((((T19/T22)^2)/(T22-1))+((((((C45^2)*S19)/S22)^2)/(S22-1))))))</f>
        <v>5</v>
      </c>
    </row>
    <row r="28" spans="1:19" ht="12.75">
      <c r="A28" s="92">
        <v>13</v>
      </c>
      <c r="B28" s="117"/>
      <c r="C28" s="118"/>
      <c r="D28" s="119"/>
      <c r="E28" s="118"/>
      <c r="H28" s="94"/>
      <c r="I28" s="64">
        <f>IF(AND($C$43="Yes",ISNUMBER(F26),F26=0),ASIN(SQRT(1/(4*B28))),IF(AND($C$43="Yes",ISNUMBER(F26),F26=1),ASIN(SQRT(1-(1/(4*B28)))),IF(AND($C$43="Yes",ISNUMBER(F26)),ASIN(SQRT(F26)),"")))</f>
      </c>
      <c r="J28" s="64">
        <f>IF(AND($C$43="Yes",ISNUMBER(G26),G26=0),ASIN(SQRT(1/(4*D28))),IF(AND($C$43="Yes",ISNUMBER(G26),G26=1),ASIN(SQRT(1-(1/(4*D28)))),IF(AND($C$43="Yes",ISNUMBER(G26)),ASIN(SQRT(G26)),"")))</f>
      </c>
      <c r="K28" s="29"/>
      <c r="L28" s="25"/>
      <c r="R28" s="40" t="s">
        <v>17</v>
      </c>
      <c r="S28" s="58">
        <f>IF(OR(C37="Click to choose from menu",C41="Click to choose from menu"),"",TINV((2*C47),S27))</f>
        <v>0.7266868438004216</v>
      </c>
    </row>
    <row r="29" spans="1:14" ht="12.75">
      <c r="A29" s="92">
        <v>14</v>
      </c>
      <c r="B29" s="117"/>
      <c r="C29" s="118"/>
      <c r="D29" s="119"/>
      <c r="E29" s="118"/>
      <c r="F29" s="94"/>
      <c r="G29" s="94"/>
      <c r="H29" s="20"/>
      <c r="I29" s="64">
        <f>IF(AND($C$43="Yes",ISNUMBER(F27),F27=0),ASIN(SQRT(1/(4*B29))),IF(AND($C$43="Yes",ISNUMBER(F27),F27=1),ASIN(SQRT(1-(1/(4*B29)))),IF(AND($C$43="Yes",ISNUMBER(F27)),ASIN(SQRT(F27)),"")))</f>
      </c>
      <c r="J29" s="64">
        <f>IF(AND($C$43="Yes",ISNUMBER(G27),G27=0),ASIN(SQRT(1/(4*D29))),IF(AND($C$43="Yes",ISNUMBER(G27),G27=1),ASIN(SQRT(1-(1/(4*D29)))),IF(AND($C$43="Yes",ISNUMBER(G27)),ASIN(SQRT(G27)),"")))</f>
      </c>
      <c r="K29" s="29"/>
      <c r="N29"/>
    </row>
    <row r="30" spans="1:14" ht="12.75" customHeight="1">
      <c r="A30" s="92">
        <v>15</v>
      </c>
      <c r="B30" s="117"/>
      <c r="C30" s="118"/>
      <c r="D30" s="119"/>
      <c r="E30" s="118"/>
      <c r="G30" s="30"/>
      <c r="H30" s="94"/>
      <c r="I30" s="64">
        <f>IF(AND($C$43="Yes",ISNUMBER(F28),F28=0),ASIN(SQRT(1/(4*B30))),IF(AND($C$43="Yes",ISNUMBER(F28),F28=1),ASIN(SQRT(1-(1/(4*B30)))),IF(AND($C$43="Yes",ISNUMBER(F28)),ASIN(SQRT(F28)),"")))</f>
      </c>
      <c r="J30" s="64">
        <f>IF(AND($C$43="Yes",ISNUMBER(G28),G28=0),ASIN(SQRT(1/(4*D30))),IF(AND($C$43="Yes",ISNUMBER(G28),G28=1),ASIN(SQRT(1-(1/(4*D30)))),IF(AND($C$43="Yes",ISNUMBER(G28)),ASIN(SQRT(G28)),"")))</f>
      </c>
      <c r="K30" s="5"/>
      <c r="L30" s="37"/>
      <c r="N30"/>
    </row>
    <row r="31" spans="1:18" ht="12.75" customHeight="1">
      <c r="A31" s="92">
        <v>16</v>
      </c>
      <c r="B31" s="117"/>
      <c r="C31" s="118"/>
      <c r="D31" s="119"/>
      <c r="E31" s="118"/>
      <c r="F31" s="94"/>
      <c r="G31" s="94"/>
      <c r="I31" s="64">
        <f>IF(AND($C$43="Yes",ISNUMBER(F29),F29=0),ASIN(SQRT(1/(4*B31))),IF(AND($C$43="Yes",ISNUMBER(F29),F29=1),ASIN(SQRT(1-(1/(4*B31)))),IF(AND($C$43="Yes",ISNUMBER(F29)),ASIN(SQRT(F29)),"")))</f>
      </c>
      <c r="J31" s="64">
        <f>IF(AND($C$43="Yes",ISNUMBER(G29),G29=0),ASIN(SQRT(1/(4*D31))),IF(AND($C$43="Yes",ISNUMBER(G29),G29=1),ASIN(SQRT(1-(1/(4*D31)))),IF(AND($C$43="Yes",ISNUMBER(G29)),ASIN(SQRT(G29)),"")))</f>
      </c>
      <c r="K31" s="37"/>
      <c r="N31" s="8"/>
      <c r="R31" s="125"/>
    </row>
    <row r="32" spans="1:12" ht="12.75" customHeight="1">
      <c r="A32" s="92">
        <v>17</v>
      </c>
      <c r="B32" s="117"/>
      <c r="C32" s="118"/>
      <c r="D32" s="119"/>
      <c r="E32" s="118"/>
      <c r="F32" s="30"/>
      <c r="I32" s="64">
        <f>IF(AND($C$43="Yes",ISNUMBER(F30),F30=0),ASIN(SQRT(1/(4*B32))),IF(AND($C$43="Yes",ISNUMBER(F30),F30=1),ASIN(SQRT(1-(1/(4*B32)))),IF(AND($C$43="Yes",ISNUMBER(F30)),ASIN(SQRT(F30)),"")))</f>
      </c>
      <c r="J32" s="64">
        <f>IF(AND($C$43="Yes",ISNUMBER(G30),G30=0),ASIN(SQRT(1/(4*D32))),IF(AND($C$43="Yes",ISNUMBER(G30),G30=1),ASIN(SQRT(1-(1/(4*D32)))),IF(AND($C$43="Yes",ISNUMBER(G30)),ASIN(SQRT(G30)),"")))</f>
      </c>
      <c r="K32" s="5"/>
      <c r="L32" s="25"/>
    </row>
    <row r="33" spans="1:12" ht="12.75" customHeight="1">
      <c r="A33" s="92">
        <v>18</v>
      </c>
      <c r="B33" s="117"/>
      <c r="C33" s="118"/>
      <c r="D33" s="119"/>
      <c r="E33" s="118"/>
      <c r="G33" s="25"/>
      <c r="H33" s="20"/>
      <c r="I33" s="64">
        <f>IF(AND($C$43="Yes",ISNUMBER(F31),F31=0),ASIN(SQRT(1/(4*B33))),IF(AND($C$43="Yes",ISNUMBER(F31),F31=1),ASIN(SQRT(1-(1/(4*B33)))),IF(AND($C$43="Yes",ISNUMBER(F31)),ASIN(SQRT(F31)),"")))</f>
      </c>
      <c r="J33" s="64">
        <f>IF(AND($C$43="Yes",ISNUMBER(G31),G31=0),ASIN(SQRT(1/(4*D33))),IF(AND($C$43="Yes",ISNUMBER(G31),G31=1),ASIN(SQRT(1-(1/(4*D33)))),IF(AND($C$43="Yes",ISNUMBER(G31)),ASIN(SQRT(G31)),"")))</f>
      </c>
      <c r="K33" s="29"/>
      <c r="L33" s="25"/>
    </row>
    <row r="34" spans="1:12" ht="12.75">
      <c r="A34" s="92">
        <v>19</v>
      </c>
      <c r="B34" s="117"/>
      <c r="C34" s="118"/>
      <c r="D34" s="119"/>
      <c r="E34" s="118"/>
      <c r="G34" s="25"/>
      <c r="H34" s="20"/>
      <c r="I34" s="64">
        <f>IF(AND($C$43="Yes",ISNUMBER(F32),F32=0),ASIN(SQRT(1/(4*B34))),IF(AND($C$43="Yes",ISNUMBER(F32),F32=1),ASIN(SQRT(1-(1/(4*B34)))),IF(AND($C$43="Yes",ISNUMBER(F32)),ASIN(SQRT(F32)),"")))</f>
      </c>
      <c r="J34" s="64">
        <f>IF(AND($C$43="Yes",ISNUMBER(G32),G32=0),ASIN(SQRT(1/(4*D34))),IF(AND($C$43="Yes",ISNUMBER(G32),G32=1),ASIN(SQRT(1-(1/(4*D34)))),IF(AND($C$43="Yes",ISNUMBER(G32)),ASIN(SQRT(G32)),"")))</f>
      </c>
      <c r="K34" s="29"/>
      <c r="L34" s="25"/>
    </row>
    <row r="35" spans="1:13" ht="13.5" thickBot="1">
      <c r="A35" s="128">
        <v>20</v>
      </c>
      <c r="B35" s="120"/>
      <c r="C35" s="121"/>
      <c r="D35" s="122"/>
      <c r="E35" s="121"/>
      <c r="F35" s="29"/>
      <c r="G35" s="25"/>
      <c r="H35" s="20"/>
      <c r="I35" s="64">
        <f>IF(AND($C$43="Yes",ISNUMBER(F33),F33=0),ASIN(SQRT(1/(4*B35))),IF(AND($C$43="Yes",ISNUMBER(F33),F33=1),ASIN(SQRT(1-(1/(4*B35)))),IF(AND($C$43="Yes",ISNUMBER(F33)),ASIN(SQRT(F33)),"")))</f>
      </c>
      <c r="J35" s="64">
        <f>IF(AND($C$43="Yes",ISNUMBER(G33),G33=0),ASIN(SQRT(1/(4*D35))),IF(AND($C$43="Yes",ISNUMBER(G33),G33=1),ASIN(SQRT(1-(1/(4*D35)))),IF(AND($C$43="Yes",ISNUMBER(G33)),ASIN(SQRT(G33)),"")))</f>
      </c>
      <c r="K35" s="29"/>
      <c r="L35" s="25"/>
      <c r="M35" s="37"/>
    </row>
    <row r="36" spans="6:13" ht="12.75">
      <c r="F36" s="29"/>
      <c r="H36" s="20"/>
      <c r="I36" s="29"/>
      <c r="K36" s="29"/>
      <c r="L36" s="25"/>
      <c r="M36" s="37"/>
    </row>
    <row r="37" spans="2:12" ht="12.75">
      <c r="B37" s="18" t="s">
        <v>25</v>
      </c>
      <c r="C37" s="204" t="s">
        <v>107</v>
      </c>
      <c r="D37" s="204"/>
      <c r="E37" s="204"/>
      <c r="F37" s="29"/>
      <c r="I37" s="29"/>
      <c r="L37" s="37"/>
    </row>
    <row r="38" spans="8:12" ht="12.75" customHeight="1">
      <c r="H38" s="37"/>
      <c r="I38" s="29"/>
      <c r="L38" s="47"/>
    </row>
    <row r="39" spans="2:12" ht="12.75">
      <c r="B39" s="18" t="s">
        <v>22</v>
      </c>
      <c r="C39" s="205" t="s">
        <v>23</v>
      </c>
      <c r="D39" s="205"/>
      <c r="E39" s="205"/>
      <c r="H39" s="37"/>
      <c r="I39" s="29"/>
      <c r="K39" s="37"/>
      <c r="L39" s="48"/>
    </row>
    <row r="40" spans="5:12" ht="12.75">
      <c r="E40" s="18"/>
      <c r="H40" s="37"/>
      <c r="K40" s="37"/>
      <c r="L40" s="48"/>
    </row>
    <row r="41" spans="2:12" ht="12.75">
      <c r="B41" s="18" t="s">
        <v>27</v>
      </c>
      <c r="C41" s="205" t="s">
        <v>28</v>
      </c>
      <c r="D41" s="205"/>
      <c r="E41" s="205"/>
      <c r="F41" s="37"/>
      <c r="G41" s="37"/>
      <c r="H41" s="47"/>
      <c r="K41" s="37"/>
      <c r="L41" s="48"/>
    </row>
    <row r="42" spans="2:12" ht="12.75">
      <c r="B42" s="12"/>
      <c r="E42" s="18"/>
      <c r="F42" s="37"/>
      <c r="G42" s="37"/>
      <c r="H42" s="48"/>
      <c r="K42" s="47"/>
      <c r="L42" s="48"/>
    </row>
    <row r="43" spans="2:11" ht="12.75">
      <c r="B43" s="18" t="s">
        <v>26</v>
      </c>
      <c r="C43" s="33" t="str">
        <f>IF(OR(C41="Reproduction",C41="Growth",C41="Germ-Tube Length"),"No",IF(OR(C41="Survival",C41="Fertilization",C41="Germination",C41="Larval Development"),"Yes",""))</f>
        <v>Yes</v>
      </c>
      <c r="D43" s="61"/>
      <c r="E43" s="61"/>
      <c r="F43" s="37"/>
      <c r="G43" s="37"/>
      <c r="H43" s="48"/>
      <c r="I43" s="37"/>
      <c r="J43" s="37"/>
      <c r="K43" s="48"/>
    </row>
    <row r="44" spans="5:11" ht="12.75">
      <c r="E44" s="5"/>
      <c r="F44" s="47"/>
      <c r="G44" s="47"/>
      <c r="H44" s="48"/>
      <c r="I44" s="37"/>
      <c r="J44" s="37"/>
      <c r="K44" s="48"/>
    </row>
    <row r="45" spans="2:11" ht="12.75">
      <c r="B45" s="17" t="s">
        <v>14</v>
      </c>
      <c r="C45" s="33">
        <f>IF(C39="Chronic",0.75,IF(C39="Acute",0.8,""))</f>
        <v>0.75</v>
      </c>
      <c r="D45" s="5"/>
      <c r="E45" s="20"/>
      <c r="F45" s="48"/>
      <c r="G45" s="48"/>
      <c r="H45" s="48"/>
      <c r="I45" s="37"/>
      <c r="J45" s="37"/>
      <c r="K45" s="48"/>
    </row>
    <row r="46" spans="4:11" ht="12.75">
      <c r="D46" s="5"/>
      <c r="E46" s="20"/>
      <c r="F46" s="48"/>
      <c r="G46" s="48"/>
      <c r="I46" s="47"/>
      <c r="J46" s="47"/>
      <c r="K46" s="48"/>
    </row>
    <row r="47" spans="2:10" ht="12.75">
      <c r="B47" s="18" t="s">
        <v>15</v>
      </c>
      <c r="C47" s="33">
        <f>IF(AND(C39="Chronic",C37="C. dubia (water flea)"),0.2,IF(AND(C39="Chronic",OR(C37="P. promelas (fathead minnow)",C37="S. capricornutum (green algae)",C37="C. variegatus (sheepshead minnow)",C37="M. berryllina (inland silverside)",C37="A. affinis (topsmelt)")),0.25,IF(AND(C39="Chronic",C37="A. bahia (mysid shrimp)"),0.15,IF(AND(C39="Chronic",OR(C37="A. punctulata (echinoderm)",C37="D. excentricus (echinoderm)",C37="S. purpuratus (echinoderm)",C37="H. rufescans (red abalone)",C37="M. pyrifera (giant kelp)",C37="C. gigas (oyster)",C37="Mytilus sp. (mussel)")),0.05,IF(C39="Acute",0.1,"")))))</f>
        <v>0.25</v>
      </c>
      <c r="D47" s="5"/>
      <c r="E47" s="20"/>
      <c r="F47" s="48"/>
      <c r="G47" s="48"/>
      <c r="I47" s="48"/>
      <c r="J47" s="48"/>
    </row>
    <row r="48" spans="6:10" ht="12.75">
      <c r="F48" s="48"/>
      <c r="G48" s="48"/>
      <c r="I48" s="48"/>
      <c r="J48" s="48"/>
    </row>
    <row r="49" spans="9:10" ht="12.75">
      <c r="I49" s="48"/>
      <c r="J49" s="48"/>
    </row>
    <row r="50" spans="9:10" ht="12.75">
      <c r="I50" s="48"/>
      <c r="J50" s="48"/>
    </row>
    <row r="51" spans="2:5" ht="12.75">
      <c r="B51" s="37"/>
      <c r="C51" s="37"/>
      <c r="D51" s="37"/>
      <c r="E51" s="37"/>
    </row>
    <row r="52" spans="2:5" ht="12.75">
      <c r="B52" s="37"/>
      <c r="C52" s="37"/>
      <c r="D52" s="37"/>
      <c r="E52" s="37"/>
    </row>
    <row r="53" spans="2:5" ht="12.75">
      <c r="B53" s="37"/>
      <c r="C53" s="37"/>
      <c r="D53" s="37"/>
      <c r="E53" s="37"/>
    </row>
    <row r="54" spans="2:5" ht="12.75">
      <c r="B54" s="47"/>
      <c r="C54" s="47"/>
      <c r="D54" s="47"/>
      <c r="E54" s="47"/>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sheetData>
  <sheetProtection password="CD0C" sheet="1" selectLockedCells="1" selectUnlockedCells="1"/>
  <mergeCells count="29">
    <mergeCell ref="B8:E8"/>
    <mergeCell ref="B9:E9"/>
    <mergeCell ref="C41:E41"/>
    <mergeCell ref="B11:C11"/>
    <mergeCell ref="D11:E11"/>
    <mergeCell ref="B12:B15"/>
    <mergeCell ref="C12:C15"/>
    <mergeCell ref="D12:D15"/>
    <mergeCell ref="E12:E15"/>
    <mergeCell ref="V16:X21"/>
    <mergeCell ref="F9:G12"/>
    <mergeCell ref="V22:X22"/>
    <mergeCell ref="C37:E37"/>
    <mergeCell ref="C39:E39"/>
    <mergeCell ref="O8:O9"/>
    <mergeCell ref="P8:P9"/>
    <mergeCell ref="O10:O15"/>
    <mergeCell ref="P10:P15"/>
    <mergeCell ref="O22:P24"/>
    <mergeCell ref="O1:P1"/>
    <mergeCell ref="O4:O7"/>
    <mergeCell ref="P4:P7"/>
    <mergeCell ref="A11:A15"/>
    <mergeCell ref="I14:J14"/>
    <mergeCell ref="O17:P20"/>
    <mergeCell ref="B4:E4"/>
    <mergeCell ref="B5:E5"/>
    <mergeCell ref="B6:E6"/>
    <mergeCell ref="B7:E7"/>
  </mergeCells>
  <conditionalFormatting sqref="U9">
    <cfRule type="expression" priority="227" dxfId="2" stopIfTrue="1">
      <formula>AND(ISNUMBER($V$22),$C$39="Acute",$V$22&gt;=20)</formula>
    </cfRule>
    <cfRule type="expression" priority="228" dxfId="2" stopIfTrue="1">
      <formula>AND(ISNUMBER($V$22),$C$39="Chronic",$V$22&gt;=25)</formula>
    </cfRule>
    <cfRule type="expression" priority="229" dxfId="2" stopIfTrue="1">
      <formula>AND(ISNUMBER($S$26:$S$28),$S$26&lt;$S$28)</formula>
    </cfRule>
  </conditionalFormatting>
  <conditionalFormatting sqref="S9">
    <cfRule type="expression" priority="230" dxfId="2" stopIfTrue="1">
      <formula>AND(ISNUMBER($V$22),$C$39="Chronic",$V$22&lt;25)</formula>
    </cfRule>
    <cfRule type="expression" priority="231" dxfId="2" stopIfTrue="1">
      <formula>AND(ISNUMBER($V$22),$C$39="Acute",$V$22&lt;20)</formula>
    </cfRule>
    <cfRule type="expression" priority="232" dxfId="2" stopIfTrue="1">
      <formula>AND(ISNUMBER($S$26:$S$28),$S$26&gt;$S$28)</formula>
    </cfRule>
  </conditionalFormatting>
  <dataValidations count="3">
    <dataValidation errorStyle="information" type="list" showInputMessage="1" showErrorMessage="1" error="Choose from drop-down menu" sqref="C37:E37">
      <formula1>$L$1:$L$21</formula1>
    </dataValidation>
    <dataValidation errorStyle="information" type="list" showInputMessage="1" showErrorMessage="1" error="Choose from drop down menu" sqref="C39:E39">
      <formula1>$M$1:$M$3</formula1>
    </dataValidation>
    <dataValidation errorStyle="information" type="list" showInputMessage="1" showErrorMessage="1" error="Choose from drop-down menu" sqref="C41:E41">
      <formula1>$K$1:$K$8</formula1>
    </dataValidation>
  </dataValidations>
  <printOptions/>
  <pageMargins left="0.7" right="0.7" top="0.75" bottom="0.75" header="0.3" footer="0.3"/>
  <pageSetup fitToHeight="1" fitToWidth="1" horizontalDpi="600" verticalDpi="600" orientation="landscape" scale="54" r:id="rId4"/>
  <headerFooter>
    <oddHeader>&amp;C&amp;A</oddHeader>
    <oddFooter>&amp;L&amp;D&amp;CPage &amp;P of &amp;N&amp;R&amp;F</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Calc">
    <pageSetUpPr fitToPage="1"/>
  </sheetPr>
  <dimension ref="A1:Y58"/>
  <sheetViews>
    <sheetView zoomScalePageLayoutView="0" workbookViewId="0" topLeftCell="A1">
      <selection activeCell="B4" sqref="B4:E4"/>
    </sheetView>
  </sheetViews>
  <sheetFormatPr defaultColWidth="9.140625" defaultRowHeight="12.75"/>
  <cols>
    <col min="1" max="1" width="12.00390625" style="0" bestFit="1" customWidth="1"/>
    <col min="2" max="5" width="11.7109375" style="0" customWidth="1"/>
    <col min="6" max="6" width="7.57421875" style="5" hidden="1" customWidth="1"/>
    <col min="7" max="7" width="7.8515625" style="5" hidden="1" customWidth="1"/>
    <col min="8" max="8" width="5.7109375" style="5" customWidth="1"/>
    <col min="9" max="9" width="13.28125" style="20" customWidth="1"/>
    <col min="10" max="10" width="13.28125" style="29" bestFit="1" customWidth="1"/>
    <col min="11" max="11" width="24.421875" style="25" hidden="1" customWidth="1"/>
    <col min="12" max="12" width="31.7109375" style="5" hidden="1" customWidth="1"/>
    <col min="13" max="13" width="24.421875" style="5" hidden="1" customWidth="1"/>
    <col min="14" max="14" width="5.7109375" style="5" customWidth="1"/>
    <col min="15" max="15" width="6.8515625" style="5" bestFit="1" customWidth="1"/>
    <col min="16" max="16" width="21.57421875" style="0" customWidth="1"/>
    <col min="17" max="17" width="13.7109375" style="0" bestFit="1" customWidth="1"/>
    <col min="18" max="18" width="39.421875" style="0" customWidth="1"/>
    <col min="19" max="20" width="12.8515625" style="0" customWidth="1"/>
    <col min="21" max="21" width="11.57421875" style="0" bestFit="1" customWidth="1"/>
    <col min="22" max="24" width="7.8515625" style="0" customWidth="1"/>
  </cols>
  <sheetData>
    <row r="1" spans="11:20" ht="12.75">
      <c r="K1" s="32" t="s">
        <v>85</v>
      </c>
      <c r="L1" s="32" t="s">
        <v>85</v>
      </c>
      <c r="M1" s="32" t="s">
        <v>85</v>
      </c>
      <c r="N1" s="124"/>
      <c r="O1" s="175" t="s">
        <v>11</v>
      </c>
      <c r="P1" s="176"/>
      <c r="Q1" s="31" t="s">
        <v>39</v>
      </c>
      <c r="R1" s="1"/>
      <c r="T1" s="3" t="s">
        <v>3</v>
      </c>
    </row>
    <row r="2" spans="11:20" ht="13.5">
      <c r="K2" s="24" t="s">
        <v>31</v>
      </c>
      <c r="L2" s="27" t="s">
        <v>95</v>
      </c>
      <c r="M2" s="26" t="s">
        <v>24</v>
      </c>
      <c r="N2" s="14"/>
      <c r="O2" s="38" t="s">
        <v>12</v>
      </c>
      <c r="P2" s="67"/>
      <c r="Q2" s="68" t="s">
        <v>13</v>
      </c>
      <c r="T2" s="9" t="s">
        <v>4</v>
      </c>
    </row>
    <row r="3" spans="11:20" ht="12.75">
      <c r="K3" s="24" t="s">
        <v>32</v>
      </c>
      <c r="L3" s="27" t="s">
        <v>89</v>
      </c>
      <c r="M3" s="26" t="s">
        <v>23</v>
      </c>
      <c r="N3" s="14"/>
      <c r="O3" s="16" t="s">
        <v>120</v>
      </c>
      <c r="P3" s="66" t="s">
        <v>42</v>
      </c>
      <c r="Q3" s="36" t="s">
        <v>40</v>
      </c>
      <c r="T3" s="19" t="s">
        <v>19</v>
      </c>
    </row>
    <row r="4" spans="1:20" ht="12.75" customHeight="1">
      <c r="A4" s="6" t="s">
        <v>160</v>
      </c>
      <c r="B4" s="240"/>
      <c r="C4" s="240"/>
      <c r="D4" s="240"/>
      <c r="E4" s="240"/>
      <c r="F4" s="60"/>
      <c r="G4" s="60"/>
      <c r="H4" s="60"/>
      <c r="I4" s="60"/>
      <c r="J4" s="5"/>
      <c r="K4" s="24" t="s">
        <v>33</v>
      </c>
      <c r="L4" s="27" t="s">
        <v>90</v>
      </c>
      <c r="M4" s="27"/>
      <c r="N4" s="14"/>
      <c r="O4" s="177" t="s">
        <v>43</v>
      </c>
      <c r="P4" s="178" t="s">
        <v>122</v>
      </c>
      <c r="Q4" s="15"/>
      <c r="T4" s="9" t="s">
        <v>4</v>
      </c>
    </row>
    <row r="5" spans="1:25" ht="12.75" customHeight="1">
      <c r="A5" s="6" t="s">
        <v>161</v>
      </c>
      <c r="B5" s="240"/>
      <c r="C5" s="240"/>
      <c r="D5" s="240"/>
      <c r="E5" s="240"/>
      <c r="I5" s="5"/>
      <c r="J5" s="5"/>
      <c r="K5" s="24" t="s">
        <v>30</v>
      </c>
      <c r="L5" s="27" t="s">
        <v>86</v>
      </c>
      <c r="M5" s="27"/>
      <c r="N5" s="14"/>
      <c r="O5" s="177"/>
      <c r="P5" s="178"/>
      <c r="Q5" s="15"/>
      <c r="T5" s="19" t="s">
        <v>20</v>
      </c>
      <c r="X5" s="2"/>
      <c r="Y5" s="4"/>
    </row>
    <row r="6" spans="1:25" ht="12.75" customHeight="1">
      <c r="A6" s="6" t="s">
        <v>47</v>
      </c>
      <c r="B6" s="240"/>
      <c r="C6" s="240"/>
      <c r="D6" s="240"/>
      <c r="E6" s="240"/>
      <c r="I6" s="5"/>
      <c r="J6" s="5"/>
      <c r="K6" s="24" t="s">
        <v>34</v>
      </c>
      <c r="L6" s="27" t="s">
        <v>103</v>
      </c>
      <c r="M6" s="26"/>
      <c r="N6" s="14"/>
      <c r="O6" s="177"/>
      <c r="P6" s="178"/>
      <c r="Q6" s="15"/>
      <c r="S6" s="10"/>
      <c r="T6" s="9" t="s">
        <v>4</v>
      </c>
      <c r="U6" s="11"/>
      <c r="X6" s="2"/>
      <c r="Y6" s="4"/>
    </row>
    <row r="7" spans="1:21" ht="12.75" customHeight="1">
      <c r="A7" s="6" t="s">
        <v>48</v>
      </c>
      <c r="B7" s="241"/>
      <c r="C7" s="241"/>
      <c r="D7" s="241"/>
      <c r="E7" s="241"/>
      <c r="I7" s="5"/>
      <c r="J7" s="5"/>
      <c r="K7" s="24" t="s">
        <v>29</v>
      </c>
      <c r="L7" s="27" t="s">
        <v>91</v>
      </c>
      <c r="M7" s="26"/>
      <c r="N7" s="14"/>
      <c r="O7" s="177"/>
      <c r="P7" s="178"/>
      <c r="Q7" s="15"/>
      <c r="S7" s="20"/>
      <c r="T7" s="3" t="s">
        <v>7</v>
      </c>
      <c r="U7" s="3"/>
    </row>
    <row r="8" spans="1:21" ht="12.75" customHeight="1">
      <c r="A8" s="6" t="s">
        <v>57</v>
      </c>
      <c r="B8" s="242"/>
      <c r="C8" s="242"/>
      <c r="D8" s="242"/>
      <c r="E8" s="242"/>
      <c r="I8" s="5"/>
      <c r="J8" s="5"/>
      <c r="K8" s="24" t="s">
        <v>28</v>
      </c>
      <c r="L8" s="27" t="s">
        <v>93</v>
      </c>
      <c r="M8" s="26"/>
      <c r="N8" s="14"/>
      <c r="O8" s="177" t="s">
        <v>44</v>
      </c>
      <c r="P8" s="206" t="s">
        <v>156</v>
      </c>
      <c r="Q8" s="15"/>
      <c r="S8" s="7" t="s">
        <v>4</v>
      </c>
      <c r="U8" s="7" t="s">
        <v>4</v>
      </c>
    </row>
    <row r="9" spans="1:21" ht="12.75" customHeight="1">
      <c r="A9" s="6" t="s">
        <v>115</v>
      </c>
      <c r="B9" s="240"/>
      <c r="C9" s="240"/>
      <c r="D9" s="240"/>
      <c r="E9" s="240"/>
      <c r="F9" s="200" t="s">
        <v>46</v>
      </c>
      <c r="G9" s="200"/>
      <c r="H9" s="14"/>
      <c r="I9" s="5"/>
      <c r="J9" s="5"/>
      <c r="K9" s="24"/>
      <c r="L9" s="82" t="s">
        <v>99</v>
      </c>
      <c r="M9" s="26"/>
      <c r="N9" s="14"/>
      <c r="O9" s="177"/>
      <c r="P9" s="206"/>
      <c r="Q9" s="15"/>
      <c r="S9" s="3" t="s">
        <v>5</v>
      </c>
      <c r="U9" s="3" t="s">
        <v>6</v>
      </c>
    </row>
    <row r="10" spans="2:21" ht="12.75" customHeight="1" thickBot="1">
      <c r="B10" s="12"/>
      <c r="C10" s="59"/>
      <c r="D10" s="59"/>
      <c r="E10" s="59"/>
      <c r="F10" s="199"/>
      <c r="G10" s="200"/>
      <c r="H10" s="14"/>
      <c r="I10" s="5"/>
      <c r="J10" s="5"/>
      <c r="K10" s="24"/>
      <c r="L10" s="83" t="s">
        <v>100</v>
      </c>
      <c r="M10" s="26"/>
      <c r="N10" s="14"/>
      <c r="O10" s="177" t="s">
        <v>45</v>
      </c>
      <c r="P10" s="178" t="s">
        <v>157</v>
      </c>
      <c r="Q10" s="15"/>
      <c r="S10" s="3"/>
      <c r="U10" s="3"/>
    </row>
    <row r="11" spans="1:25" ht="12.75" customHeight="1">
      <c r="A11" s="179" t="s">
        <v>123</v>
      </c>
      <c r="B11" s="228" t="s">
        <v>118</v>
      </c>
      <c r="C11" s="210"/>
      <c r="D11" s="209" t="s">
        <v>119</v>
      </c>
      <c r="E11" s="210"/>
      <c r="F11" s="199"/>
      <c r="G11" s="200"/>
      <c r="H11" s="14"/>
      <c r="I11" s="5"/>
      <c r="J11" s="5"/>
      <c r="K11" s="24"/>
      <c r="L11" s="83" t="s">
        <v>121</v>
      </c>
      <c r="M11" s="26"/>
      <c r="N11" s="14"/>
      <c r="O11" s="177"/>
      <c r="P11" s="178"/>
      <c r="Q11" s="15"/>
      <c r="S11" s="3" t="s">
        <v>8</v>
      </c>
      <c r="U11" s="3" t="s">
        <v>9</v>
      </c>
      <c r="X11" s="2"/>
      <c r="Y11" s="8"/>
    </row>
    <row r="12" spans="1:25" ht="12.75" customHeight="1">
      <c r="A12" s="180"/>
      <c r="B12" s="211" t="s">
        <v>129</v>
      </c>
      <c r="C12" s="214" t="s">
        <v>84</v>
      </c>
      <c r="D12" s="211" t="s">
        <v>129</v>
      </c>
      <c r="E12" s="214" t="s">
        <v>84</v>
      </c>
      <c r="F12" s="199"/>
      <c r="G12" s="200"/>
      <c r="H12" s="14"/>
      <c r="I12" s="5"/>
      <c r="J12" s="5"/>
      <c r="K12" s="24"/>
      <c r="L12" s="148" t="s">
        <v>154</v>
      </c>
      <c r="M12" s="26"/>
      <c r="O12" s="177"/>
      <c r="P12" s="178"/>
      <c r="Q12" s="15"/>
      <c r="S12" s="3" t="s">
        <v>112</v>
      </c>
      <c r="U12" s="3" t="s">
        <v>113</v>
      </c>
      <c r="X12" s="2"/>
      <c r="Y12" s="8"/>
    </row>
    <row r="13" spans="1:21" ht="12.75" customHeight="1">
      <c r="A13" s="180"/>
      <c r="B13" s="212"/>
      <c r="C13" s="215"/>
      <c r="D13" s="212"/>
      <c r="E13" s="215"/>
      <c r="F13" s="39" t="s">
        <v>0</v>
      </c>
      <c r="G13" s="140" t="s">
        <v>153</v>
      </c>
      <c r="H13" s="14"/>
      <c r="I13" s="86"/>
      <c r="J13" s="87"/>
      <c r="K13" s="24"/>
      <c r="L13" s="27" t="s">
        <v>111</v>
      </c>
      <c r="M13" s="26"/>
      <c r="O13" s="177"/>
      <c r="P13" s="178"/>
      <c r="Q13" s="69"/>
      <c r="R13" s="10"/>
      <c r="T13" s="11"/>
      <c r="U13" s="21"/>
    </row>
    <row r="14" spans="1:21" ht="13.5">
      <c r="A14" s="180"/>
      <c r="B14" s="212"/>
      <c r="C14" s="215"/>
      <c r="D14" s="212"/>
      <c r="E14" s="215"/>
      <c r="F14" s="72">
        <f>IF(AND(ISNUMBER(C16),$C$43="Yes"),C16/B16,"")</f>
      </c>
      <c r="G14" s="72">
        <f>IF(AND(ISNUMBER(E16),$C$43="Yes"),E16/D16,"")</f>
      </c>
      <c r="H14" s="14"/>
      <c r="I14" s="182" t="s">
        <v>21</v>
      </c>
      <c r="J14" s="183"/>
      <c r="K14" s="24"/>
      <c r="L14" s="27" t="s">
        <v>92</v>
      </c>
      <c r="M14" s="26"/>
      <c r="O14" s="177"/>
      <c r="P14" s="178"/>
      <c r="Q14" s="88"/>
      <c r="R14" s="3"/>
      <c r="T14" s="3"/>
      <c r="U14" s="21"/>
    </row>
    <row r="15" spans="1:21" ht="12.75" customHeight="1" thickBot="1">
      <c r="A15" s="181"/>
      <c r="B15" s="213"/>
      <c r="C15" s="216"/>
      <c r="D15" s="213"/>
      <c r="E15" s="216"/>
      <c r="F15" s="72">
        <f>IF(AND(ISNUMBER(C17),$C$43="Yes"),C17/B17,"")</f>
      </c>
      <c r="G15" s="72">
        <f>IF(AND(ISNUMBER(E17),$C$43="Yes"),E17/D17,"")</f>
      </c>
      <c r="H15" s="14"/>
      <c r="I15" s="22" t="s">
        <v>0</v>
      </c>
      <c r="J15" s="23" t="s">
        <v>115</v>
      </c>
      <c r="K15" s="24"/>
      <c r="L15" s="83" t="s">
        <v>104</v>
      </c>
      <c r="M15" s="26"/>
      <c r="O15" s="207"/>
      <c r="P15" s="208"/>
      <c r="Q15" s="70"/>
      <c r="R15" s="81"/>
      <c r="S15" s="81"/>
      <c r="T15" s="81"/>
      <c r="U15" s="21"/>
    </row>
    <row r="16" spans="1:24" ht="12.75" customHeight="1">
      <c r="A16" s="89">
        <v>1</v>
      </c>
      <c r="B16" s="71"/>
      <c r="C16" s="147"/>
      <c r="D16" s="71"/>
      <c r="E16" s="62"/>
      <c r="F16" s="72">
        <f>IF(AND(ISNUMBER(C18),$C$43="Yes"),C18/B18,"")</f>
      </c>
      <c r="G16" s="72">
        <f>IF(AND(ISNUMBER(E18),$C$43="Yes"),E18/D18,"")</f>
      </c>
      <c r="H16" s="14"/>
      <c r="I16" s="64">
        <f>IF(AND($C$43="Yes",ISNUMBER(F14),F14=0),ASIN(SQRT(1/(4*B16))),IF(AND($C$43="Yes",ISNUMBER(F14),F14=1),ASIN(SQRT(1-(1/(4*B16)))),IF(AND($C$43="Yes",ISNUMBER(F14)),ASIN(SQRT(F14)),"")))</f>
      </c>
      <c r="J16" s="64">
        <f>IF(AND($C$43="Yes",ISNUMBER(G14),G14=0),ASIN(SQRT(1/(4*D16))),IF(AND($C$43="Yes",ISNUMBER(G14),G14=1),ASIN(SQRT(1-(1/(4*D16)))),IF(AND($C$43="Yes",ISNUMBER(G14)),ASIN(SQRT(G14)),"")))</f>
      </c>
      <c r="K16" s="20"/>
      <c r="L16" s="83" t="s">
        <v>105</v>
      </c>
      <c r="M16" s="26"/>
      <c r="O16" s="35"/>
      <c r="P16" s="35"/>
      <c r="Q16" s="14"/>
      <c r="R16" s="73" t="s">
        <v>10</v>
      </c>
      <c r="S16" s="74" t="s">
        <v>0</v>
      </c>
      <c r="T16" s="74" t="s">
        <v>115</v>
      </c>
      <c r="V16" s="217" t="s">
        <v>158</v>
      </c>
      <c r="W16" s="218"/>
      <c r="X16" s="219"/>
    </row>
    <row r="17" spans="1:24" ht="12.75" customHeight="1">
      <c r="A17" s="90">
        <v>2</v>
      </c>
      <c r="B17" s="71"/>
      <c r="C17" s="147"/>
      <c r="D17" s="71"/>
      <c r="E17" s="62"/>
      <c r="F17" s="72">
        <f>IF(AND(ISNUMBER(C19),$C$43="Yes"),C19/B19,"")</f>
      </c>
      <c r="G17" s="72">
        <f>IF(AND(ISNUMBER(E19),$C$43="Yes"),E19/D19,"")</f>
      </c>
      <c r="H17" s="14"/>
      <c r="I17" s="64">
        <f>IF(AND($C$43="Yes",ISNUMBER(F15),F15=0),ASIN(SQRT(1/(4*B17))),IF(AND($C$43="Yes",ISNUMBER(F15),F15=1),ASIN(SQRT(1-(1/(4*B17)))),IF(AND($C$43="Yes",ISNUMBER(F15)),ASIN(SQRT(F15)),"")))</f>
      </c>
      <c r="J17" s="64">
        <f>IF(AND($C$43="Yes",ISNUMBER(G15),G15=0),ASIN(SQRT(1/(4*D17))),IF(AND($C$43="Yes",ISNUMBER(G15),G15=1),ASIN(SQRT(1-(1/(4*D17)))),IF(AND($C$43="Yes",ISNUMBER(G15)),ASIN(SQRT(G15)),"")))</f>
      </c>
      <c r="K17" s="20"/>
      <c r="L17" s="27" t="s">
        <v>98</v>
      </c>
      <c r="M17" s="25"/>
      <c r="O17" s="184" t="s">
        <v>106</v>
      </c>
      <c r="P17" s="185"/>
      <c r="Q17" s="14"/>
      <c r="R17" s="6">
        <f>IF(AND($C$43="No",ISNUMBER(C16)),"Mean of Raw Data",IF(AND($C$43="Yes",ISNUMBER(C16)),"Percent Mean of Raw Data",""))</f>
      </c>
      <c r="S17" s="80">
        <f>IF(AND($C$43="No",ISNUMBER(C16)),AVERAGE(C16:C35),IF(AND($C$43="Yes",ISNUMBER(C16)),AVERAGE(C16:C35)/AVERAGE(B16:B35),""))</f>
      </c>
      <c r="T17" s="80">
        <f>IF(AND($C$43="No",ISNUMBER(E16)),AVERAGE(E16:E35),IF(AND($C$43="Yes",ISNUMBER(E16)),AVERAGE(E16:E35)/AVERAGE(D16:D35),""))</f>
      </c>
      <c r="V17" s="220"/>
      <c r="W17" s="221"/>
      <c r="X17" s="222"/>
    </row>
    <row r="18" spans="1:24" ht="12.75" customHeight="1">
      <c r="A18" s="90">
        <v>3</v>
      </c>
      <c r="B18" s="71"/>
      <c r="C18" s="147"/>
      <c r="D18" s="71"/>
      <c r="E18" s="62"/>
      <c r="F18" s="72">
        <f>IF(AND(ISNUMBER(C20),$C$43="Yes"),C20/B20,"")</f>
      </c>
      <c r="G18" s="72">
        <f>IF(AND(ISNUMBER(E20),$C$43="Yes"),E20/D20,"")</f>
      </c>
      <c r="I18" s="64">
        <f>IF(AND($C$43="Yes",ISNUMBER(F16),F16=0),ASIN(SQRT(1/(4*B18))),IF(AND($C$43="Yes",ISNUMBER(F16),F16=1),ASIN(SQRT(1-(1/(4*B18)))),IF(AND($C$43="Yes",ISNUMBER(F16)),ASIN(SQRT(F16)),"")))</f>
      </c>
      <c r="J18" s="64">
        <f>IF(AND($C$43="Yes",ISNUMBER(G16),G16=0),ASIN(SQRT(1/(4*D18))),IF(AND($C$43="Yes",ISNUMBER(G16),G16=1),ASIN(SQRT(1-(1/(4*D18)))),IF(AND($C$43="Yes",ISNUMBER(G16)),ASIN(SQRT(G16)),"")))</f>
      </c>
      <c r="K18" s="20"/>
      <c r="L18" s="27" t="s">
        <v>97</v>
      </c>
      <c r="M18" s="25"/>
      <c r="O18" s="186"/>
      <c r="P18" s="187"/>
      <c r="Q18" s="14"/>
      <c r="R18" s="13">
        <f>IF(AND($C$43="No",ISNUMBER(C16)),"Mean used in Calculation (non-transformed)",IF(AND($C$43="Yes",ISNUMBER(C16)),"Mean used in Calcuation (transformed)",""))</f>
      </c>
      <c r="S18" s="80">
        <f>IF(C43="NO",AVERAGE(C16:C35),IF(C43="YES",AVERAGE(I16:I35),""))</f>
      </c>
      <c r="T18" s="80">
        <f>IF(C43="NO",AVERAGE(E16:E35),IF(C43="YES",AVERAGE(J16:J35),""))</f>
      </c>
      <c r="V18" s="220"/>
      <c r="W18" s="221"/>
      <c r="X18" s="222"/>
    </row>
    <row r="19" spans="1:24" ht="12.75" customHeight="1">
      <c r="A19" s="90">
        <v>4</v>
      </c>
      <c r="B19" s="71"/>
      <c r="C19" s="147"/>
      <c r="D19" s="71"/>
      <c r="E19" s="62"/>
      <c r="F19" s="72">
        <f>IF(AND(ISNUMBER(C21),$C$43="Yes"),C21/B21,"")</f>
      </c>
      <c r="G19" s="72">
        <f>IF(AND(ISNUMBER(E21),$C$43="Yes"),E21/D21,"")</f>
      </c>
      <c r="H19" s="18"/>
      <c r="I19" s="64">
        <f>IF(AND($C$43="Yes",ISNUMBER(F17),F17=0),ASIN(SQRT(1/(4*B19))),IF(AND($C$43="Yes",ISNUMBER(F17),F17=1),ASIN(SQRT(1-(1/(4*B19)))),IF(AND($C$43="Yes",ISNUMBER(F17)),ASIN(SQRT(F17)),"")))</f>
      </c>
      <c r="J19" s="64">
        <f>IF(AND($C$43="Yes",ISNUMBER(G17),G17=0),ASIN(SQRT(1/(4*D19))),IF(AND($C$43="Yes",ISNUMBER(G17),G17=1),ASIN(SQRT(1-(1/(4*D19)))),IF(AND($C$43="Yes",ISNUMBER(G17)),ASIN(SQRT(G17)),"")))</f>
      </c>
      <c r="K19" s="20"/>
      <c r="L19" s="84" t="s">
        <v>101</v>
      </c>
      <c r="M19" s="25"/>
      <c r="O19" s="186"/>
      <c r="P19" s="187"/>
      <c r="Q19" s="14"/>
      <c r="R19" s="13">
        <f>IF(AND($C$43="No",ISNUMBER(C16)),"Variance used in Calculation (non-transformed)",IF(AND($C$43="Yes",ISNUMBER(C16)),"Variance used in Calcuation (transformed)",""))</f>
      </c>
      <c r="S19" s="79">
        <f>IF(C43="NO",VAR(C16:C35),IF(C43="YES",VAR(I16:I35),""))</f>
      </c>
      <c r="T19" s="79">
        <f>IF(C43="NO",VAR(E16:E35),IF(C43="YES",VAR(J16:J35),""))</f>
      </c>
      <c r="V19" s="220"/>
      <c r="W19" s="221"/>
      <c r="X19" s="222"/>
    </row>
    <row r="20" spans="1:24" ht="12.75" customHeight="1">
      <c r="A20" s="90">
        <v>5</v>
      </c>
      <c r="B20" s="71"/>
      <c r="C20" s="62"/>
      <c r="D20" s="71"/>
      <c r="E20" s="62"/>
      <c r="F20" s="72">
        <f>IF(AND(ISNUMBER(C22),$C$43="Yes"),C22/B22,"")</f>
      </c>
      <c r="G20" s="72">
        <f>IF(AND(ISNUMBER(E22),$C$43="Yes"),E22/D22,"")</f>
      </c>
      <c r="H20"/>
      <c r="I20" s="64">
        <f>IF(AND($C$43="Yes",ISNUMBER(F18),F18=0),ASIN(SQRT(1/(4*B20))),IF(AND($C$43="Yes",ISNUMBER(F18),F18=1),ASIN(SQRT(1-(1/(4*B20)))),IF(AND($C$43="Yes",ISNUMBER(F18)),ASIN(SQRT(F18)),"")))</f>
      </c>
      <c r="J20" s="64">
        <f>IF(AND($C$43="Yes",ISNUMBER(G18),G18=0),ASIN(SQRT(1/(4*D20))),IF(AND($C$43="Yes",ISNUMBER(G18),G18=1),ASIN(SQRT(1-(1/(4*D20)))),IF(AND($C$43="Yes",ISNUMBER(G18)),ASIN(SQRT(G18)),"")))</f>
      </c>
      <c r="K20" s="20"/>
      <c r="L20" s="27" t="s">
        <v>87</v>
      </c>
      <c r="M20" s="25"/>
      <c r="O20" s="188"/>
      <c r="P20" s="189"/>
      <c r="Q20" s="14"/>
      <c r="R20" s="13">
        <f>IF(AND($C$43="No",ISNUMBER(C16)),"Standard Deviation of Raw Data",IF(AND($C$43="Yes",ISNUMBER(C16)),"Standard Deviation of Transformed Data",""))</f>
      </c>
      <c r="S20" s="79">
        <f>IF(ISNUMBER(S19),SQRT(S19),"")</f>
      </c>
      <c r="T20" s="79">
        <f>IF(ISNUMBER(T19),SQRT(T19),"")</f>
      </c>
      <c r="V20" s="220"/>
      <c r="W20" s="221"/>
      <c r="X20" s="222"/>
    </row>
    <row r="21" spans="1:24" ht="12.75" customHeight="1">
      <c r="A21" s="90">
        <v>6</v>
      </c>
      <c r="B21" s="71"/>
      <c r="C21" s="62"/>
      <c r="D21" s="71"/>
      <c r="E21" s="62"/>
      <c r="F21" s="72">
        <f>IF(AND(ISNUMBER(C23),$C$43="Yes"),C23/B23,"")</f>
      </c>
      <c r="G21" s="72">
        <f>IF(AND(ISNUMBER(E23),$C$43="Yes"),E23/D23,"")</f>
      </c>
      <c r="H21" s="18"/>
      <c r="I21" s="64">
        <f>IF(AND($C$43="Yes",ISNUMBER(F19),F19=0),ASIN(SQRT(1/(4*B21))),IF(AND($C$43="Yes",ISNUMBER(F19),F19=1),ASIN(SQRT(1-(1/(4*B21)))),IF(AND($C$43="Yes",ISNUMBER(F19)),ASIN(SQRT(F19)),"")))</f>
      </c>
      <c r="J21" s="64">
        <f>IF(AND($C$43="Yes",ISNUMBER(G19),G19=0),ASIN(SQRT(1/(4*D21))),IF(AND($C$43="Yes",ISNUMBER(G19),G19=1),ASIN(SQRT(1-(1/(4*D21)))),IF(AND($C$43="Yes",ISNUMBER(G19)),ASIN(SQRT(G19)),"")))</f>
      </c>
      <c r="K21" s="20"/>
      <c r="L21" s="27" t="s">
        <v>88</v>
      </c>
      <c r="M21" s="25"/>
      <c r="O21" s="37"/>
      <c r="P21" s="37"/>
      <c r="Q21" s="14"/>
      <c r="R21" s="13">
        <f>IF(AND($C$43="No",ISNUMBER(C16)),"CV of Raw Data",IF(AND($C$43="Yes",ISNUMBER(C16)),"CV of Transformed Data",""))</f>
      </c>
      <c r="S21" s="79">
        <f>IF(ISNUMBER(S18),S20/S18,"")</f>
      </c>
      <c r="T21" s="79">
        <f>IF(ISNUMBER(T18),T20/T18,"")</f>
      </c>
      <c r="V21" s="223"/>
      <c r="W21" s="224"/>
      <c r="X21" s="225"/>
    </row>
    <row r="22" spans="1:24" ht="12.75" customHeight="1">
      <c r="A22" s="90">
        <v>7</v>
      </c>
      <c r="B22" s="71"/>
      <c r="C22" s="62"/>
      <c r="D22" s="71"/>
      <c r="E22" s="62"/>
      <c r="F22" s="72">
        <f>IF(AND(ISNUMBER(C24),$C$43="Yes"),C24/B24,"")</f>
      </c>
      <c r="G22" s="72">
        <f>IF(AND(ISNUMBER(E24),$C$43="Yes"),E24/D24,"")</f>
      </c>
      <c r="H22"/>
      <c r="I22" s="64">
        <f>IF(AND($C$43="Yes",ISNUMBER(F20),F20=0),ASIN(SQRT(1/(4*B22))),IF(AND($C$43="Yes",ISNUMBER(F20),F20=1),ASIN(SQRT(1-(1/(4*B22)))),IF(AND($C$43="Yes",ISNUMBER(F20)),ASIN(SQRT(F20)),"")))</f>
      </c>
      <c r="J22" s="64">
        <f>IF(AND($C$43="Yes",ISNUMBER(G20),G20=0),ASIN(SQRT(1/(4*D22))),IF(AND($C$43="Yes",ISNUMBER(G20),G20=1),ASIN(SQRT(1-(1/(4*D22)))),IF(AND($C$43="Yes",ISNUMBER(G20)),ASIN(SQRT(G20)),"")))</f>
      </c>
      <c r="K22" s="20"/>
      <c r="L22" s="83" t="s">
        <v>102</v>
      </c>
      <c r="M22" s="25"/>
      <c r="O22" s="184" t="s">
        <v>132</v>
      </c>
      <c r="P22" s="185"/>
      <c r="Q22" s="5"/>
      <c r="R22" s="13">
        <f>IF(ISNUMBER(S22),"n","")</f>
      </c>
      <c r="S22" s="28">
        <f>IF($C$43="NO",COUNT(C16:C35),IF($C$43="YES",COUNT(I16:I35),""))</f>
      </c>
      <c r="T22" s="28">
        <f>IF($C$43="NO",COUNT(E16:E35),IF($C$43="YES",COUNT(J16:J35),""))</f>
      </c>
      <c r="V22" s="201">
        <f>IF(AND(S19=0,T19=0),((AVERAGE(C16:C35)-AVERAGE(E16:E35))/AVERAGE(C16:C35))*100,"")</f>
      </c>
      <c r="W22" s="202"/>
      <c r="X22" s="203"/>
    </row>
    <row r="23" spans="1:20" ht="12.75">
      <c r="A23" s="90">
        <v>8</v>
      </c>
      <c r="B23" s="71"/>
      <c r="C23" s="62"/>
      <c r="D23" s="71"/>
      <c r="E23" s="62"/>
      <c r="F23" s="72">
        <f>IF(AND(ISNUMBER(C25),$C$43="Yes"),C25/B25,"")</f>
      </c>
      <c r="G23" s="72">
        <f>IF(AND(ISNUMBER(E25),$C$43="Yes"),E25/D25,"")</f>
      </c>
      <c r="H23"/>
      <c r="I23" s="64">
        <f>IF(AND($C$43="Yes",ISNUMBER(F21),F21=0),ASIN(SQRT(1/(4*B23))),IF(AND($C$43="Yes",ISNUMBER(F21),F21=1),ASIN(SQRT(1-(1/(4*B23)))),IF(AND($C$43="Yes",ISNUMBER(F21)),ASIN(SQRT(F21)),"")))</f>
      </c>
      <c r="J23" s="64">
        <f>IF(AND($C$43="Yes",ISNUMBER(G21),G21=0),ASIN(SQRT(1/(4*D23))),IF(AND($C$43="Yes",ISNUMBER(G21),G21=1),ASIN(SQRT(1-(1/(4*D23)))),IF(AND($C$43="Yes",ISNUMBER(G21)),ASIN(SQRT(G21)),"")))</f>
      </c>
      <c r="K23" s="20"/>
      <c r="L23" s="27" t="s">
        <v>94</v>
      </c>
      <c r="M23" s="25"/>
      <c r="O23" s="186"/>
      <c r="P23" s="187"/>
      <c r="Q23" s="5"/>
      <c r="R23" s="75"/>
      <c r="S23" s="76"/>
      <c r="T23" s="77"/>
    </row>
    <row r="24" spans="1:20" ht="12.75">
      <c r="A24" s="90">
        <v>9</v>
      </c>
      <c r="B24" s="71"/>
      <c r="C24" s="62"/>
      <c r="D24" s="71"/>
      <c r="E24" s="62"/>
      <c r="F24" s="72">
        <f>IF(AND(ISNUMBER(C26),$C$43="Yes"),C26/B26,"")</f>
      </c>
      <c r="G24" s="72">
        <f>IF(AND(ISNUMBER(E26),$C$43="Yes"),E26/D26,"")</f>
      </c>
      <c r="I24" s="64">
        <f>IF(AND($C$43="Yes",ISNUMBER(F22),F22=0),ASIN(SQRT(1/(4*B24))),IF(AND($C$43="Yes",ISNUMBER(F22),F22=1),ASIN(SQRT(1-(1/(4*B24)))),IF(AND($C$43="Yes",ISNUMBER(F22)),ASIN(SQRT(F22)),"")))</f>
      </c>
      <c r="J24" s="64">
        <f>IF(AND($C$43="Yes",ISNUMBER(G22),G22=0),ASIN(SQRT(1/(4*D24))),IF(AND($C$43="Yes",ISNUMBER(G22),G22=1),ASIN(SQRT(1-(1/(4*D24)))),IF(AND($C$43="Yes",ISNUMBER(G22)),ASIN(SQRT(G22)),"")))</f>
      </c>
      <c r="L24" s="148" t="s">
        <v>155</v>
      </c>
      <c r="O24" s="188"/>
      <c r="P24" s="189"/>
      <c r="Q24" s="5"/>
      <c r="R24" s="13" t="s">
        <v>114</v>
      </c>
      <c r="S24" s="80">
        <f>IF(AND(ISNUMBER(S17),ISNUMBER(T17)),((S17-T17)/S17)*100,"")</f>
      </c>
      <c r="T24" s="78"/>
    </row>
    <row r="25" spans="1:17" ht="12.75" customHeight="1">
      <c r="A25" s="90">
        <v>10</v>
      </c>
      <c r="B25" s="71"/>
      <c r="C25" s="62"/>
      <c r="D25" s="71"/>
      <c r="E25" s="62"/>
      <c r="F25" s="72">
        <f>IF(AND(ISNUMBER(C27),$C$43="Yes"),C27/B27,"")</f>
      </c>
      <c r="G25" s="72">
        <f>IF(AND(ISNUMBER(E27),$C$43="Yes"),E27/D27,"")</f>
      </c>
      <c r="I25" s="64">
        <f>IF(AND($C$43="Yes",ISNUMBER(F23),F23=0),ASIN(SQRT(1/(4*B25))),IF(AND($C$43="Yes",ISNUMBER(F23),F23=1),ASIN(SQRT(1-(1/(4*B25)))),IF(AND($C$43="Yes",ISNUMBER(F23)),ASIN(SQRT(F23)),"")))</f>
      </c>
      <c r="J25" s="64">
        <f>IF(AND($C$43="Yes",ISNUMBER(G23),G23=0),ASIN(SQRT(1/(4*D25))),IF(AND($C$43="Yes",ISNUMBER(G23),G23=1),ASIN(SQRT(1-(1/(4*D25)))),IF(AND($C$43="Yes",ISNUMBER(G23)),ASIN(SQRT(G23)),"")))</f>
      </c>
      <c r="Q25" s="5"/>
    </row>
    <row r="26" spans="1:19" ht="12.75">
      <c r="A26" s="90">
        <v>11</v>
      </c>
      <c r="B26" s="71"/>
      <c r="C26" s="62"/>
      <c r="D26" s="71"/>
      <c r="E26" s="62"/>
      <c r="F26" s="72">
        <f>IF(AND(ISNUMBER(C28),$C$43="Yes"),C28/B28,"")</f>
      </c>
      <c r="G26" s="72">
        <f>IF(AND(ISNUMBER(E28),$C$43="Yes"),E28/D28,"")</f>
      </c>
      <c r="I26" s="64">
        <f>IF(AND($C$43="Yes",ISNUMBER(F24),F24=0),ASIN(SQRT(1/(4*B26))),IF(AND($C$43="Yes",ISNUMBER(F24),F24=1),ASIN(SQRT(1-(1/(4*B26)))),IF(AND($C$43="Yes",ISNUMBER(F24)),ASIN(SQRT(F24)),"")))</f>
      </c>
      <c r="J26" s="64">
        <f>IF(AND($C$43="Yes",ISNUMBER(G24),G24=0),ASIN(SQRT(1/(4*D26))),IF(AND($C$43="Yes",ISNUMBER(G24),G24=1),ASIN(SQRT(1-(1/(4*D26)))),IF(AND($C$43="Yes",ISNUMBER(G24)),ASIN(SQRT(G24)),"")))</f>
      </c>
      <c r="Q26" s="34"/>
      <c r="R26" s="40" t="s">
        <v>16</v>
      </c>
      <c r="S26" s="58">
        <f>IF(OR(ISTEXT(C45),ISTEXT(C47),C41="Click to choose from menu"),"",(T18-(C45*S18))/SQRT((T19/T22)+(((C45^2)*S19)/S22)))</f>
      </c>
    </row>
    <row r="27" spans="1:19" ht="12.75">
      <c r="A27" s="126">
        <v>12</v>
      </c>
      <c r="B27" s="71"/>
      <c r="C27" s="62"/>
      <c r="D27" s="71"/>
      <c r="E27" s="62"/>
      <c r="F27" s="72">
        <f>IF(AND(ISNUMBER(C29),$C$43="Yes"),C29/B29,"")</f>
      </c>
      <c r="G27" s="72">
        <f>IF(AND(ISNUMBER(E29),$C$43="Yes"),E29/D29,"")</f>
      </c>
      <c r="H27" s="98"/>
      <c r="I27" s="64">
        <f>IF(AND($C$43="Yes",ISNUMBER(F25),F25=0),ASIN(SQRT(1/(4*B27))),IF(AND($C$43="Yes",ISNUMBER(F25),F25=1),ASIN(SQRT(1-(1/(4*B27)))),IF(AND($C$43="Yes",ISNUMBER(F25)),ASIN(SQRT(F25)),"")))</f>
      </c>
      <c r="J27" s="64">
        <f>IF(AND($C$43="Yes",ISNUMBER(G25),G25=0),ASIN(SQRT(1/(4*D27))),IF(AND($C$43="Yes",ISNUMBER(G25),G25=1),ASIN(SQRT(1-(1/(4*D27)))),IF(AND($C$43="Yes",ISNUMBER(G25)),ASIN(SQRT(G25)),"")))</f>
      </c>
      <c r="Q27" s="34"/>
      <c r="R27" s="18" t="s">
        <v>18</v>
      </c>
      <c r="S27" s="28">
        <f>IF(OR(ISTEXT(C45),ISTEXT(C47),C41="Click to choose from menu"),"",INT(((((T19/T22)+((((C45)^2)*S19)/S22))^2))/((((T19/T22)^2)/(T22-1))+((((((C45^2)*S19)/S22)^2)/(S22-1))))))</f>
      </c>
    </row>
    <row r="28" spans="1:19" ht="12.75">
      <c r="A28" s="126">
        <v>13</v>
      </c>
      <c r="B28" s="71"/>
      <c r="C28" s="62"/>
      <c r="D28" s="71"/>
      <c r="E28" s="62"/>
      <c r="F28" s="72">
        <f>IF(AND(ISNUMBER(C30),$C$43="Yes"),C30/B30,"")</f>
      </c>
      <c r="G28" s="72">
        <f>IF(AND(ISNUMBER(E30),$C$43="Yes"),E30/D30,"")</f>
      </c>
      <c r="H28" s="99"/>
      <c r="I28" s="64">
        <f>IF(AND($C$43="Yes",ISNUMBER(F26),F26=0),ASIN(SQRT(1/(4*B28))),IF(AND($C$43="Yes",ISNUMBER(F26),F26=1),ASIN(SQRT(1-(1/(4*B28)))),IF(AND($C$43="Yes",ISNUMBER(F26)),ASIN(SQRT(F26)),"")))</f>
      </c>
      <c r="J28" s="64">
        <f>IF(AND($C$43="Yes",ISNUMBER(G26),G26=0),ASIN(SQRT(1/(4*D28))),IF(AND($C$43="Yes",ISNUMBER(G26),G26=1),ASIN(SQRT(1-(1/(4*D28)))),IF(AND($C$43="Yes",ISNUMBER(G26)),ASIN(SQRT(G26)),"")))</f>
      </c>
      <c r="Q28" s="5"/>
      <c r="R28" s="40" t="s">
        <v>17</v>
      </c>
      <c r="S28" s="58">
        <f>IF(OR(ISTEXT(C45),ISTEXT(C47),C41="Click to choose from menu"),"",TINV((2*C47),S27))</f>
      </c>
    </row>
    <row r="29" spans="1:15" ht="12.75">
      <c r="A29" s="126">
        <v>14</v>
      </c>
      <c r="B29" s="71"/>
      <c r="C29" s="62"/>
      <c r="D29" s="71"/>
      <c r="E29" s="62"/>
      <c r="F29" s="72">
        <f>IF(AND(ISNUMBER(C31),$C$43="Yes"),C31/B31,"")</f>
      </c>
      <c r="G29" s="72">
        <f>IF(AND(ISNUMBER(E31),$C$43="Yes"),E31/D31,"")</f>
      </c>
      <c r="H29" s="100"/>
      <c r="I29" s="64">
        <f>IF(AND($C$43="Yes",ISNUMBER(F27),F27=0),ASIN(SQRT(1/(4*B29))),IF(AND($C$43="Yes",ISNUMBER(F27),F27=1),ASIN(SQRT(1-(1/(4*B29)))),IF(AND($C$43="Yes",ISNUMBER(F27)),ASIN(SQRT(F27)),"")))</f>
      </c>
      <c r="J29" s="64">
        <f>IF(AND($C$43="Yes",ISNUMBER(G27),G27=0),ASIN(SQRT(1/(4*D29))),IF(AND($C$43="Yes",ISNUMBER(G27),G27=1),ASIN(SQRT(1-(1/(4*D29)))),IF(AND($C$43="Yes",ISNUMBER(G27)),ASIN(SQRT(G27)),"")))</f>
      </c>
      <c r="K29" s="5"/>
      <c r="M29"/>
      <c r="N29"/>
      <c r="O29"/>
    </row>
    <row r="30" spans="1:15" ht="12.75" customHeight="1">
      <c r="A30" s="126">
        <v>15</v>
      </c>
      <c r="B30" s="71"/>
      <c r="C30" s="62"/>
      <c r="D30" s="71"/>
      <c r="E30" s="62"/>
      <c r="F30" s="72">
        <f>IF(AND(ISNUMBER(C32),$C$43="Yes"),C32/B32,"")</f>
      </c>
      <c r="G30" s="72">
        <f>IF(AND(ISNUMBER(E32),$C$43="Yes"),E32/D32,"")</f>
      </c>
      <c r="H30" s="99"/>
      <c r="I30" s="64">
        <f>IF(AND($C$43="Yes",ISNUMBER(F28),F28=0),ASIN(SQRT(1/(4*B30))),IF(AND($C$43="Yes",ISNUMBER(F28),F28=1),ASIN(SQRT(1-(1/(4*B30)))),IF(AND($C$43="Yes",ISNUMBER(F28)),ASIN(SQRT(F28)),"")))</f>
      </c>
      <c r="J30" s="64">
        <f>IF(AND($C$43="Yes",ISNUMBER(G28),G28=0),ASIN(SQRT(1/(4*D30))),IF(AND($C$43="Yes",ISNUMBER(G28),G28=1),ASIN(SQRT(1-(1/(4*D30)))),IF(AND($C$43="Yes",ISNUMBER(G28)),ASIN(SQRT(G28)),"")))</f>
      </c>
      <c r="K30" s="37"/>
      <c r="M30"/>
      <c r="N30" s="8"/>
      <c r="O30"/>
    </row>
    <row r="31" spans="1:15" ht="12.75">
      <c r="A31" s="126">
        <v>16</v>
      </c>
      <c r="B31" s="71"/>
      <c r="C31" s="62"/>
      <c r="D31" s="71"/>
      <c r="E31" s="62"/>
      <c r="F31" s="72">
        <f>IF(AND(ISNUMBER(C33),$C$43="Yes"),C33/B33,"")</f>
      </c>
      <c r="G31" s="72">
        <f>IF(AND(ISNUMBER(E33),$C$43="Yes"),E33/D33,"")</f>
      </c>
      <c r="H31" s="100"/>
      <c r="I31" s="64">
        <f>IF(AND($C$43="Yes",ISNUMBER(F29),F29=0),ASIN(SQRT(1/(4*B31))),IF(AND($C$43="Yes",ISNUMBER(F29),F29=1),ASIN(SQRT(1-(1/(4*B31)))),IF(AND($C$43="Yes",ISNUMBER(F29)),ASIN(SQRT(F29)),"")))</f>
      </c>
      <c r="J31" s="64">
        <f>IF(AND($C$43="Yes",ISNUMBER(G29),G29=0),ASIN(SQRT(1/(4*D31))),IF(AND($C$43="Yes",ISNUMBER(G29),G29=1),ASIN(SQRT(1-(1/(4*D31)))),IF(AND($C$43="Yes",ISNUMBER(G29)),ASIN(SQRT(G29)),"")))</f>
      </c>
      <c r="K31" s="5"/>
      <c r="M31" s="8"/>
      <c r="N31" s="8"/>
      <c r="O31" s="8"/>
    </row>
    <row r="32" spans="1:10" ht="12.75">
      <c r="A32" s="126">
        <v>17</v>
      </c>
      <c r="B32" s="71"/>
      <c r="C32" s="62"/>
      <c r="D32" s="71"/>
      <c r="E32" s="62"/>
      <c r="F32" s="72">
        <f>IF(AND(ISNUMBER(C34),$C$43="Yes"),C34/B34,"")</f>
      </c>
      <c r="G32" s="72">
        <f>IF(AND(ISNUMBER(E34),$C$43="Yes"),E34/D34,"")</f>
      </c>
      <c r="I32" s="64">
        <f>IF(AND($C$43="Yes",ISNUMBER(F30),F30=0),ASIN(SQRT(1/(4*B32))),IF(AND($C$43="Yes",ISNUMBER(F30),F30=1),ASIN(SQRT(1-(1/(4*B32)))),IF(AND($C$43="Yes",ISNUMBER(F30)),ASIN(SQRT(F30)),"")))</f>
      </c>
      <c r="J32" s="64">
        <f>IF(AND($C$43="Yes",ISNUMBER(G30),G30=0),ASIN(SQRT(1/(4*D32))),IF(AND($C$43="Yes",ISNUMBER(G30),G30=1),ASIN(SQRT(1-(1/(4*D32)))),IF(AND($C$43="Yes",ISNUMBER(G30)),ASIN(SQRT(G30)),"")))</f>
      </c>
    </row>
    <row r="33" spans="1:10" ht="12.75" customHeight="1">
      <c r="A33" s="126">
        <v>18</v>
      </c>
      <c r="B33" s="71"/>
      <c r="C33" s="62"/>
      <c r="D33" s="71"/>
      <c r="E33" s="62"/>
      <c r="F33" s="72">
        <f>IF(AND(ISNUMBER(C35),$C$43="Yes"),C35/B35,"")</f>
      </c>
      <c r="G33" s="72">
        <f>IF(AND(ISNUMBER(E35),$C$43="Yes"),E35/D35,"")</f>
      </c>
      <c r="I33" s="64">
        <f>IF(AND($C$43="Yes",ISNUMBER(F31),F31=0),ASIN(SQRT(1/(4*B33))),IF(AND($C$43="Yes",ISNUMBER(F31),F31=1),ASIN(SQRT(1-(1/(4*B33)))),IF(AND($C$43="Yes",ISNUMBER(F31)),ASIN(SQRT(F31)),"")))</f>
      </c>
      <c r="J33" s="64">
        <f>IF(AND($C$43="Yes",ISNUMBER(G31),G31=0),ASIN(SQRT(1/(4*D33))),IF(AND($C$43="Yes",ISNUMBER(G31),G31=1),ASIN(SQRT(1-(1/(4*D33)))),IF(AND($C$43="Yes",ISNUMBER(G31)),ASIN(SQRT(G31)),"")))</f>
      </c>
    </row>
    <row r="34" spans="1:10" ht="12.75">
      <c r="A34" s="126">
        <v>19</v>
      </c>
      <c r="B34" s="71"/>
      <c r="C34" s="62"/>
      <c r="D34" s="71"/>
      <c r="E34" s="62"/>
      <c r="G34" s="25"/>
      <c r="H34" s="20"/>
      <c r="I34" s="64">
        <f>IF(AND($C$43="Yes",ISNUMBER(F32),F32=0),ASIN(SQRT(1/(4*B34))),IF(AND($C$43="Yes",ISNUMBER(F32),F32=1),ASIN(SQRT(1-(1/(4*B34)))),IF(AND($C$43="Yes",ISNUMBER(F32)),ASIN(SQRT(F32)),"")))</f>
      </c>
      <c r="J34" s="64">
        <f>IF(AND($C$43="Yes",ISNUMBER(G32),G32=0),ASIN(SQRT(1/(4*D34))),IF(AND($C$43="Yes",ISNUMBER(G32),G32=1),ASIN(SQRT(1-(1/(4*D34)))),IF(AND($C$43="Yes",ISNUMBER(G32)),ASIN(SQRT(G32)),"")))</f>
      </c>
    </row>
    <row r="35" spans="1:10" ht="13.5" thickBot="1">
      <c r="A35" s="127">
        <v>20</v>
      </c>
      <c r="B35" s="71"/>
      <c r="C35" s="63"/>
      <c r="D35" s="71"/>
      <c r="E35" s="63"/>
      <c r="F35" s="29"/>
      <c r="G35" s="25"/>
      <c r="H35" s="20"/>
      <c r="I35" s="64">
        <f>IF(AND($C$43="Yes",ISNUMBER(F33),F33=0),ASIN(SQRT(1/(4*B35))),IF(AND($C$43="Yes",ISNUMBER(F33),F33=1),ASIN(SQRT(1-(1/(4*B35)))),IF(AND($C$43="Yes",ISNUMBER(F33)),ASIN(SQRT(F33)),"")))</f>
      </c>
      <c r="J35" s="64">
        <f>IF(AND($C$43="Yes",ISNUMBER(G33),G33=0),ASIN(SQRT(1/(4*D35))),IF(AND($C$43="Yes",ISNUMBER(G33),G33=1),ASIN(SQRT(1-(1/(4*D35)))),IF(AND($C$43="Yes",ISNUMBER(G33)),ASIN(SQRT(G33)),"")))</f>
      </c>
    </row>
    <row r="36" spans="5:12" ht="12.75">
      <c r="E36" s="129"/>
      <c r="F36" s="29"/>
      <c r="H36" s="20"/>
      <c r="L36" s="37"/>
    </row>
    <row r="37" spans="2:12" ht="12.75">
      <c r="B37" s="18" t="s">
        <v>25</v>
      </c>
      <c r="C37" s="226" t="s">
        <v>162</v>
      </c>
      <c r="D37" s="226"/>
      <c r="E37" s="226"/>
      <c r="F37" s="29"/>
      <c r="H37" s="20"/>
      <c r="L37" s="37"/>
    </row>
    <row r="38" ht="12.75" customHeight="1">
      <c r="L38" s="37"/>
    </row>
    <row r="39" spans="2:12" ht="12.75">
      <c r="B39" s="18" t="s">
        <v>22</v>
      </c>
      <c r="C39" s="227" t="s">
        <v>162</v>
      </c>
      <c r="D39" s="227"/>
      <c r="E39" s="227"/>
      <c r="H39" s="37"/>
      <c r="K39" s="37"/>
      <c r="L39" s="47"/>
    </row>
    <row r="40" spans="5:12" ht="12.75">
      <c r="E40" s="18"/>
      <c r="H40" s="37"/>
      <c r="K40" s="37"/>
      <c r="L40" s="48"/>
    </row>
    <row r="41" spans="2:12" ht="12.75">
      <c r="B41" s="18" t="s">
        <v>27</v>
      </c>
      <c r="C41" s="227" t="s">
        <v>162</v>
      </c>
      <c r="D41" s="227"/>
      <c r="E41" s="227"/>
      <c r="F41" s="37"/>
      <c r="G41" s="37"/>
      <c r="H41" s="37"/>
      <c r="K41" s="37"/>
      <c r="L41" s="48"/>
    </row>
    <row r="42" spans="2:12" ht="12.75">
      <c r="B42" s="12"/>
      <c r="E42" s="18"/>
      <c r="F42" s="37"/>
      <c r="G42" s="37"/>
      <c r="H42" s="47"/>
      <c r="K42" s="47"/>
      <c r="L42" s="48"/>
    </row>
    <row r="43" spans="2:12" ht="12.75">
      <c r="B43" s="18" t="s">
        <v>26</v>
      </c>
      <c r="C43" s="33">
        <f>IF(OR(C41="Reproduction",C41="Growth",C41="Germ-Tube Length"),"No",IF(OR(C41="Survival",C41="Fertilization",C41="Germination",C41="Larval Development"),"Yes",""))</f>
      </c>
      <c r="D43" s="61"/>
      <c r="E43" s="61"/>
      <c r="F43" s="37"/>
      <c r="G43" s="37"/>
      <c r="H43" s="48"/>
      <c r="I43" s="37"/>
      <c r="J43" s="37"/>
      <c r="K43" s="48"/>
      <c r="L43" s="48"/>
    </row>
    <row r="44" spans="5:11" ht="12.75">
      <c r="E44" s="5"/>
      <c r="F44" s="47"/>
      <c r="G44" s="47"/>
      <c r="H44" s="48"/>
      <c r="I44" s="37"/>
      <c r="J44" s="37"/>
      <c r="K44" s="48"/>
    </row>
    <row r="45" spans="2:11" ht="12.75">
      <c r="B45" s="17" t="s">
        <v>14</v>
      </c>
      <c r="C45" s="33">
        <f>IF(AND(C37="C. dubia (water flea)",C39="Chronic",C41="Survival"),"",IF(C39="Chronic",0.75,IF(C39="Acute",0.8,"")))</f>
      </c>
      <c r="D45" s="5"/>
      <c r="E45" s="20"/>
      <c r="F45" s="48"/>
      <c r="G45" s="48"/>
      <c r="H45" s="48"/>
      <c r="I45" s="37"/>
      <c r="J45" s="37"/>
      <c r="K45" s="48"/>
    </row>
    <row r="46" spans="4:11" ht="12.75">
      <c r="D46" s="5"/>
      <c r="E46" s="20"/>
      <c r="F46" s="48"/>
      <c r="G46" s="48"/>
      <c r="H46" s="48"/>
      <c r="I46" s="47"/>
      <c r="J46" s="47"/>
      <c r="K46" s="48"/>
    </row>
    <row r="47" spans="2:10" ht="12.75">
      <c r="B47" s="18" t="s">
        <v>15</v>
      </c>
      <c r="C47" s="33">
        <f>IF(AND(C39="Chronic",C37="C. dubia (water flea)"),0.2,IF(AND(C39="Chronic",OR(C37="P. promelas (fathead minnow)",C37="S. capricornutum (green algae)",C37="C. variegatus (sheepshead minnow)",C37="M. berryllina (inland silverside)",C37="A. affinis (topsmelt)")),0.25,IF(AND(C39="Chronic",OR(C37="A. bahia (mysid shrimp)",C37="H. costata (mysid)")),0.15,IF(AND(C39="Chronic",OR(C37="A. punctulata (echinoderm)",C37="D. excentricus (echinoderm)",C37="S. purpuratus (echinoderm)",C37="H. rufescens (red abalone)",C37="M. pyrifera (giant kelp)",C37="C. gigas (oyster)",C37="Mytilus sp. (mussel)",C37="T. gratilla (echinoderm)")),0.05,IF(C39="Acute",0.1,"")))))</f>
      </c>
      <c r="D47" s="5"/>
      <c r="E47" s="20"/>
      <c r="F47" s="48"/>
      <c r="G47" s="48"/>
      <c r="I47" s="48"/>
      <c r="J47" s="48"/>
    </row>
    <row r="48" spans="6:10" ht="12.75">
      <c r="F48" s="48"/>
      <c r="G48" s="48"/>
      <c r="I48" s="48"/>
      <c r="J48" s="48"/>
    </row>
    <row r="49" spans="9:10" ht="12.75">
      <c r="I49" s="48"/>
      <c r="J49" s="48"/>
    </row>
    <row r="50" spans="9:10" ht="12.75">
      <c r="I50" s="48"/>
      <c r="J50" s="48"/>
    </row>
    <row r="51" spans="2:5" ht="12.75">
      <c r="B51" s="37"/>
      <c r="C51" s="37"/>
      <c r="D51" s="37"/>
      <c r="E51" s="37"/>
    </row>
    <row r="52" spans="2:5" ht="12.75">
      <c r="B52" s="37"/>
      <c r="C52" s="37"/>
      <c r="D52" s="37"/>
      <c r="E52" s="37"/>
    </row>
    <row r="53" spans="2:5" ht="12.75">
      <c r="B53" s="37"/>
      <c r="C53" s="37"/>
      <c r="D53" s="37"/>
      <c r="E53" s="37"/>
    </row>
    <row r="54" spans="2:5" ht="12.75">
      <c r="B54" s="47"/>
      <c r="C54" s="47"/>
      <c r="D54" s="47"/>
      <c r="E54" s="47"/>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sheetData>
  <sheetProtection password="CD0C" sheet="1" formatColumns="0" selectLockedCells="1"/>
  <mergeCells count="29">
    <mergeCell ref="B6:E6"/>
    <mergeCell ref="B7:E7"/>
    <mergeCell ref="B8:E8"/>
    <mergeCell ref="B9:E9"/>
    <mergeCell ref="B4:E4"/>
    <mergeCell ref="B5:E5"/>
    <mergeCell ref="C39:E39"/>
    <mergeCell ref="C41:E41"/>
    <mergeCell ref="B11:C11"/>
    <mergeCell ref="D11:E11"/>
    <mergeCell ref="B12:B15"/>
    <mergeCell ref="D12:D15"/>
    <mergeCell ref="E12:E15"/>
    <mergeCell ref="C12:C15"/>
    <mergeCell ref="A11:A15"/>
    <mergeCell ref="O8:O9"/>
    <mergeCell ref="P8:P9"/>
    <mergeCell ref="O10:O15"/>
    <mergeCell ref="P10:P15"/>
    <mergeCell ref="C37:E37"/>
    <mergeCell ref="V16:X21"/>
    <mergeCell ref="V22:X22"/>
    <mergeCell ref="I14:J14"/>
    <mergeCell ref="O17:P20"/>
    <mergeCell ref="O1:P1"/>
    <mergeCell ref="F9:G12"/>
    <mergeCell ref="P4:P7"/>
    <mergeCell ref="O4:O7"/>
    <mergeCell ref="O22:P24"/>
  </mergeCells>
  <conditionalFormatting sqref="S19">
    <cfRule type="expression" priority="3" dxfId="17" stopIfTrue="1">
      <formula>$S$19&gt;1000</formula>
    </cfRule>
  </conditionalFormatting>
  <conditionalFormatting sqref="T19">
    <cfRule type="expression" priority="2" dxfId="17" stopIfTrue="1">
      <formula>$T$19&gt;1000</formula>
    </cfRule>
  </conditionalFormatting>
  <conditionalFormatting sqref="U9">
    <cfRule type="expression" priority="220" dxfId="2" stopIfTrue="1">
      <formula>AND(ISNUMBER($V$22),$C$39="Acute",$V$22&gt;=20)</formula>
    </cfRule>
    <cfRule type="expression" priority="221" dxfId="2" stopIfTrue="1">
      <formula>AND(ISNUMBER($V$22),$C$39="Chronic",$V$22&gt;=25)</formula>
    </cfRule>
    <cfRule type="expression" priority="222" dxfId="2" stopIfTrue="1">
      <formula>AND(ISNUMBER($S$26:$S$28),$S$24&gt;10,$S$26&lt;$S$28)</formula>
    </cfRule>
  </conditionalFormatting>
  <conditionalFormatting sqref="S9">
    <cfRule type="expression" priority="223" dxfId="2" stopIfTrue="1">
      <formula>AND(ISNUMBER($V$22),$C$39="Acute",$V$22&lt;=10)</formula>
    </cfRule>
    <cfRule type="expression" priority="224" dxfId="2" stopIfTrue="1">
      <formula>AND(ISNUMBER($V$22),$C$39="Chronic",$V$22&lt;25)</formula>
    </cfRule>
    <cfRule type="expression" priority="225" dxfId="2" stopIfTrue="1">
      <formula>AND(ISNUMBER($S$24),$C$39="Acute",$S$24&lt;=10)</formula>
    </cfRule>
    <cfRule type="expression" priority="226" dxfId="2" stopIfTrue="1">
      <formula>AND(ISNUMBER($S$26:$S$28),$S$26&gt;$S$28)</formula>
    </cfRule>
  </conditionalFormatting>
  <dataValidations count="3">
    <dataValidation errorStyle="information" type="list" showInputMessage="1" showErrorMessage="1" error="Choose from drop-down menu" sqref="C41:E41">
      <formula1>$K$1:$K$8</formula1>
    </dataValidation>
    <dataValidation errorStyle="information" type="list" showInputMessage="1" showErrorMessage="1" error="Choose from drop down menu" sqref="C39:E39">
      <formula1>$M$1:$M$3</formula1>
    </dataValidation>
    <dataValidation errorStyle="information" type="list" showInputMessage="1" showErrorMessage="1" error="Choose from drop-down menu" sqref="C37:E37">
      <formula1>$L$1:$L$24</formula1>
    </dataValidation>
  </dataValidations>
  <printOptions/>
  <pageMargins left="0.7" right="0.7" top="0.75" bottom="0.75" header="0.3" footer="0.3"/>
  <pageSetup fitToHeight="1" fitToWidth="1" horizontalDpi="600" verticalDpi="600" orientation="landscape" scale="54" r:id="rId2"/>
  <headerFooter>
    <oddHeader>&amp;C&amp;A</oddHeader>
    <oddFooter>&amp;L&amp;D&amp;CPage &amp;P of &amp;N&amp;R&amp;F</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I61"/>
  <sheetViews>
    <sheetView view="pageLayout" workbookViewId="0" topLeftCell="A1">
      <selection activeCell="A1" sqref="A1"/>
    </sheetView>
  </sheetViews>
  <sheetFormatPr defaultColWidth="9.140625" defaultRowHeight="12.75"/>
  <cols>
    <col min="1" max="1" width="15.28125" style="0" customWidth="1"/>
    <col min="2" max="2" width="7.7109375" style="0" customWidth="1"/>
    <col min="3" max="3" width="7.28125" style="0" customWidth="1"/>
    <col min="4" max="4" width="15.7109375" style="0" customWidth="1"/>
    <col min="5" max="5" width="7.7109375" style="0" customWidth="1"/>
    <col min="6" max="7" width="8.28125" style="0" customWidth="1"/>
    <col min="8" max="8" width="7.7109375" style="0" customWidth="1"/>
    <col min="9" max="9" width="14.421875" style="0" customWidth="1"/>
  </cols>
  <sheetData>
    <row r="1" spans="1:7" ht="12.75">
      <c r="A1" s="130" t="s">
        <v>160</v>
      </c>
      <c r="B1" s="230">
        <f>IF(Calculator!B4="","",Calculator!B4)</f>
      </c>
      <c r="C1" s="230"/>
      <c r="D1" s="230"/>
      <c r="E1" s="130" t="s">
        <v>161</v>
      </c>
      <c r="G1">
        <f>IF(Calculator!B5="","",Calculator!B5)</f>
      </c>
    </row>
    <row r="2" spans="2:4" ht="12.75">
      <c r="B2" s="150"/>
      <c r="C2" s="150"/>
      <c r="D2" s="150"/>
    </row>
    <row r="3" spans="1:7" ht="12.75">
      <c r="A3" s="130" t="s">
        <v>47</v>
      </c>
      <c r="B3" s="230">
        <f>IF(Calculator!B6="","",Calculator!B6)</f>
      </c>
      <c r="C3" s="230"/>
      <c r="D3" s="230"/>
      <c r="E3" s="130" t="s">
        <v>49</v>
      </c>
      <c r="G3" s="139">
        <f>IF(Calculator!C37="Click to Choose from Menu","",Calculator!C37)</f>
      </c>
    </row>
    <row r="4" spans="2:4" ht="12.75">
      <c r="B4" s="150"/>
      <c r="C4" s="150"/>
      <c r="D4" s="150"/>
    </row>
    <row r="5" spans="1:7" ht="12.75">
      <c r="A5" s="130" t="s">
        <v>48</v>
      </c>
      <c r="B5" s="229">
        <f>IF(Calculator!B7="","",Calculator!B7)</f>
      </c>
      <c r="C5" s="229"/>
      <c r="D5" s="229"/>
      <c r="E5" s="130" t="s">
        <v>142</v>
      </c>
      <c r="G5">
        <f>IF(Calculator!C39="Click to Choose from Menu","",Calculator!C39)</f>
      </c>
    </row>
    <row r="6" spans="2:4" ht="12.75">
      <c r="B6" s="150"/>
      <c r="C6" s="150"/>
      <c r="D6" s="150"/>
    </row>
    <row r="7" spans="1:7" ht="12.75">
      <c r="A7" s="130" t="s">
        <v>57</v>
      </c>
      <c r="B7" s="230">
        <f>IF(Calculator!B8="","",Calculator!B8)</f>
      </c>
      <c r="C7" s="230"/>
      <c r="D7" s="230"/>
      <c r="E7" s="130" t="s">
        <v>50</v>
      </c>
      <c r="G7">
        <f>IF(Calculator!C41="Click to Choose from Menu","",Calculator!C41)</f>
      </c>
    </row>
    <row r="8" spans="2:4" ht="12.75">
      <c r="B8" s="150"/>
      <c r="C8" s="150"/>
      <c r="D8" s="150"/>
    </row>
    <row r="9" spans="1:4" ht="12.75">
      <c r="A9" s="130" t="s">
        <v>115</v>
      </c>
      <c r="B9" s="230">
        <f>IF(Calculator!B9="","",Calculator!B9)</f>
      </c>
      <c r="C9" s="230"/>
      <c r="D9" s="230"/>
    </row>
    <row r="10" spans="1:2" ht="12.75">
      <c r="A10" s="130"/>
      <c r="B10" s="135"/>
    </row>
    <row r="12" spans="1:9" ht="12.75">
      <c r="A12" s="132" t="s">
        <v>10</v>
      </c>
      <c r="B12" s="133"/>
      <c r="C12" s="133"/>
      <c r="D12" s="133"/>
      <c r="E12" s="137" t="s">
        <v>0</v>
      </c>
      <c r="F12" s="133"/>
      <c r="G12" s="137" t="s">
        <v>137</v>
      </c>
      <c r="H12" s="133"/>
      <c r="I12" s="133"/>
    </row>
    <row r="13" spans="1:8" ht="12.75">
      <c r="A13" s="12">
        <f>IF(Calculator!R17="","",Calculator!R17)</f>
      </c>
      <c r="E13" s="239">
        <f>IF(Calculator!S17="","",Calculator!S17)</f>
      </c>
      <c r="F13" s="239"/>
      <c r="G13" s="239">
        <f>IF(Calculator!T17="","",Calculator!T17)</f>
      </c>
      <c r="H13" s="239"/>
    </row>
    <row r="14" spans="1:8" ht="12.75">
      <c r="A14" s="12">
        <f>IF(Calculator!R18="","",Calculator!R18)</f>
      </c>
      <c r="E14" s="238">
        <f>IF(Calculator!S18="","",Calculator!S18)</f>
      </c>
      <c r="F14" s="238"/>
      <c r="G14" s="238">
        <f>IF(Calculator!T18="","",Calculator!T18)</f>
      </c>
      <c r="H14" s="238"/>
    </row>
    <row r="15" spans="1:8" ht="12.75">
      <c r="A15" s="12">
        <f>IF(Calculator!R19="","",Calculator!R19)</f>
      </c>
      <c r="E15" s="234">
        <f>IF(Calculator!S19="","",Calculator!S19)</f>
      </c>
      <c r="F15" s="234"/>
      <c r="G15" s="234">
        <f>IF(Calculator!T19="","",Calculator!T19)</f>
      </c>
      <c r="H15" s="234"/>
    </row>
    <row r="16" spans="1:8" ht="12.75">
      <c r="A16" s="12">
        <f>IF(Calculator!R20="","",Calculator!R20)</f>
      </c>
      <c r="E16" s="234">
        <f>IF(Calculator!S20="","",Calculator!S20)</f>
      </c>
      <c r="F16" s="234"/>
      <c r="G16" s="234">
        <f>IF(Calculator!T20="","",Calculator!T20)</f>
      </c>
      <c r="H16" s="234"/>
    </row>
    <row r="17" spans="1:8" ht="12.75">
      <c r="A17" s="12">
        <f>IF(Calculator!R21="","",Calculator!R21)</f>
      </c>
      <c r="E17" s="234">
        <f>IF(Calculator!S21="","",Calculator!S21)</f>
      </c>
      <c r="F17" s="234"/>
      <c r="G17" s="234">
        <f>IF(Calculator!T21="","",Calculator!T21)</f>
      </c>
      <c r="H17" s="234"/>
    </row>
    <row r="18" spans="1:7" ht="12.75">
      <c r="A18" s="12">
        <f>IF(Calculator!R22="","",Calculator!R22)</f>
      </c>
      <c r="E18" s="141">
        <f>IF(Calculator!S22="","",Calculator!S22)</f>
      </c>
      <c r="F18" s="142"/>
      <c r="G18" s="141">
        <f>IF(Calculator!T22="","",Calculator!T22)</f>
      </c>
    </row>
    <row r="19" spans="1:5" ht="12.75">
      <c r="A19" s="131"/>
      <c r="D19" s="135"/>
      <c r="E19" s="135"/>
    </row>
    <row r="21" spans="1:9" ht="12.75">
      <c r="A21" s="132" t="s">
        <v>114</v>
      </c>
      <c r="B21" s="133"/>
      <c r="C21" s="133"/>
      <c r="D21" s="133"/>
      <c r="E21" s="133"/>
      <c r="F21" s="133"/>
      <c r="G21" s="133"/>
      <c r="H21" s="133"/>
      <c r="I21" s="133"/>
    </row>
    <row r="22" ht="12.75">
      <c r="A22" s="136">
        <f>IF(Calculator!S24="","",Calculator!S24)</f>
      </c>
    </row>
    <row r="24" spans="1:9" ht="12.75">
      <c r="A24" s="137" t="s">
        <v>52</v>
      </c>
      <c r="B24" s="133"/>
      <c r="C24" s="137" t="s">
        <v>138</v>
      </c>
      <c r="D24" s="133"/>
      <c r="E24" s="137" t="s">
        <v>53</v>
      </c>
      <c r="F24" s="133"/>
      <c r="G24" s="137" t="s">
        <v>54</v>
      </c>
      <c r="H24" s="133"/>
      <c r="I24" s="133"/>
    </row>
    <row r="25" spans="1:8" ht="12.75">
      <c r="A25" s="232">
        <f>IF(ISNUMBER(Calculator!S26),Calculator!S26,"")</f>
      </c>
      <c r="B25" s="232"/>
      <c r="C25" s="233">
        <f>IF(ISNUMBER(Calculator!S27),Calculator!S27,"")</f>
      </c>
      <c r="D25" s="233"/>
      <c r="E25" s="232">
        <f>IF(ISNUMBER(Calculator!S28),Calculator!S28,"")</f>
      </c>
      <c r="F25" s="232"/>
      <c r="G25" s="231">
        <f>IF(Calculator!V22="","",Calculator!V22)</f>
      </c>
      <c r="H25" s="231"/>
    </row>
    <row r="27" spans="1:9" ht="12.75">
      <c r="A27" s="132" t="s">
        <v>143</v>
      </c>
      <c r="B27" s="133"/>
      <c r="C27" s="133"/>
      <c r="D27" s="133"/>
      <c r="E27" s="133"/>
      <c r="F27" s="133"/>
      <c r="G27" s="133"/>
      <c r="H27" s="133"/>
      <c r="I27" s="133"/>
    </row>
    <row r="28" spans="1:4" ht="12.75">
      <c r="A28">
        <f>IF(A25&lt;E25,"Fail",IF(A25&gt;E25,"Pass",IF(AND(G5="Acute",G25&gt;=20),"Fail",IF(AND(G5="Acute",G25&lt;20),"Pass",IF(AND(G5="Chronic",G25&gt;=25),"Fail",IF(AND(G5="Chronic",G25&lt;25),"Pass",""))))))</f>
      </c>
      <c r="C28" s="2">
        <f>IF(D28="","","Sample is")</f>
      </c>
      <c r="D28">
        <f>IF(A25&lt;E25,"Toxic",IF(A25&gt;E25,"Non-toxic",IF(AND(G5="Acute",G25&gt;=20),"Toxic",IF(AND(G5="Acute",G25&lt;20),"Non-toxic",IF(AND(G5="Chronic",G25&gt;=25),"Toxic",IF(AND(G5="Chronic",G25&lt;25),"Non-toxic",""))))))</f>
      </c>
    </row>
    <row r="30" spans="1:9" ht="12.75">
      <c r="A30" s="132" t="s">
        <v>139</v>
      </c>
      <c r="B30" s="133"/>
      <c r="C30" s="133"/>
      <c r="D30" s="133"/>
      <c r="E30" s="133"/>
      <c r="F30" s="133"/>
      <c r="G30" s="133"/>
      <c r="H30" s="133"/>
      <c r="I30" s="133"/>
    </row>
    <row r="31" ht="12.75" customHeight="1"/>
    <row r="32" spans="1:8" ht="12.75">
      <c r="A32" s="237" t="s">
        <v>118</v>
      </c>
      <c r="B32" s="237"/>
      <c r="C32" s="237"/>
      <c r="E32" s="237" t="s">
        <v>141</v>
      </c>
      <c r="F32" s="237"/>
      <c r="G32" s="237"/>
      <c r="H32" s="237"/>
    </row>
    <row r="33" spans="1:8" ht="12.75">
      <c r="A33" s="236" t="s">
        <v>140</v>
      </c>
      <c r="B33" s="236" t="s">
        <v>84</v>
      </c>
      <c r="C33" s="236"/>
      <c r="E33" s="236" t="s">
        <v>140</v>
      </c>
      <c r="F33" s="236"/>
      <c r="G33" s="236" t="s">
        <v>84</v>
      </c>
      <c r="H33" s="236"/>
    </row>
    <row r="34" spans="1:8" ht="12.75">
      <c r="A34" s="236"/>
      <c r="B34" s="236"/>
      <c r="C34" s="236"/>
      <c r="E34" s="236"/>
      <c r="F34" s="236"/>
      <c r="G34" s="236"/>
      <c r="H34" s="236"/>
    </row>
    <row r="35" spans="1:8" ht="12.75">
      <c r="A35" s="236"/>
      <c r="B35" s="236"/>
      <c r="C35" s="236"/>
      <c r="E35" s="236"/>
      <c r="F35" s="236"/>
      <c r="G35" s="236"/>
      <c r="H35" s="236"/>
    </row>
    <row r="36" spans="1:8" ht="12.75">
      <c r="A36" s="3">
        <f>IF(Calculator!B16="","",Calculator!B16)</f>
      </c>
      <c r="B36" s="235">
        <f>IF(Calculator!C16="","",Calculator!C16)</f>
      </c>
      <c r="C36" s="235"/>
      <c r="E36" s="235">
        <f>IF(Calculator!D16="","",Calculator!D16)</f>
      </c>
      <c r="F36" s="235"/>
      <c r="G36" s="235">
        <f>IF(Calculator!E16="","",Calculator!E16)</f>
      </c>
      <c r="H36" s="235"/>
    </row>
    <row r="37" spans="1:8" ht="12.75">
      <c r="A37" s="3">
        <f>IF(Calculator!B17="","",Calculator!B17)</f>
      </c>
      <c r="B37" s="235">
        <f>IF(Calculator!C17="","",Calculator!C17)</f>
      </c>
      <c r="C37" s="235"/>
      <c r="E37" s="235">
        <f>IF(Calculator!D17="","",Calculator!D17)</f>
      </c>
      <c r="F37" s="235"/>
      <c r="G37" s="235">
        <f>IF(Calculator!E17="","",Calculator!E17)</f>
      </c>
      <c r="H37" s="235"/>
    </row>
    <row r="38" spans="1:8" ht="12.75">
      <c r="A38" s="3">
        <f>IF(Calculator!B18="","",Calculator!B18)</f>
      </c>
      <c r="B38" s="235">
        <f>IF(Calculator!C18="","",Calculator!C18)</f>
      </c>
      <c r="C38" s="235"/>
      <c r="E38" s="235">
        <f>IF(Calculator!D18="","",Calculator!D18)</f>
      </c>
      <c r="F38" s="235"/>
      <c r="G38" s="235">
        <f>IF(Calculator!E18="","",Calculator!E18)</f>
      </c>
      <c r="H38" s="235"/>
    </row>
    <row r="39" spans="1:8" ht="12.75">
      <c r="A39" s="3">
        <f>IF(Calculator!B19="","",Calculator!B19)</f>
      </c>
      <c r="B39" s="235">
        <f>IF(Calculator!C19="","",Calculator!C19)</f>
      </c>
      <c r="C39" s="235"/>
      <c r="E39" s="235">
        <f>IF(Calculator!D19="","",Calculator!D19)</f>
      </c>
      <c r="F39" s="235"/>
      <c r="G39" s="235">
        <f>IF(Calculator!E19="","",Calculator!E19)</f>
      </c>
      <c r="H39" s="235"/>
    </row>
    <row r="40" spans="1:8" ht="12.75">
      <c r="A40" s="3">
        <f>IF(Calculator!B20="","",Calculator!B20)</f>
      </c>
      <c r="B40" s="235">
        <f>IF(Calculator!C20="","",Calculator!C20)</f>
      </c>
      <c r="C40" s="235"/>
      <c r="E40" s="235">
        <f>IF(Calculator!D20="","",Calculator!D20)</f>
      </c>
      <c r="F40" s="235"/>
      <c r="G40" s="235">
        <f>IF(Calculator!E20="","",Calculator!E20)</f>
      </c>
      <c r="H40" s="235"/>
    </row>
    <row r="41" spans="1:8" ht="12.75">
      <c r="A41" s="3">
        <f>IF(Calculator!B21="","",Calculator!B21)</f>
      </c>
      <c r="B41" s="235">
        <f>IF(Calculator!C21="","",Calculator!C21)</f>
      </c>
      <c r="C41" s="235"/>
      <c r="E41" s="235">
        <f>IF(Calculator!D21="","",Calculator!D21)</f>
      </c>
      <c r="F41" s="235"/>
      <c r="G41" s="235">
        <f>IF(Calculator!E21="","",Calculator!E21)</f>
      </c>
      <c r="H41" s="235"/>
    </row>
    <row r="42" spans="1:8" ht="12.75">
      <c r="A42" s="3">
        <f>IF(Calculator!B22="","",Calculator!B22)</f>
      </c>
      <c r="B42" s="235">
        <f>IF(Calculator!C22="","",Calculator!C22)</f>
      </c>
      <c r="C42" s="235"/>
      <c r="E42" s="235">
        <f>IF(Calculator!D22="","",Calculator!D22)</f>
      </c>
      <c r="F42" s="235"/>
      <c r="G42" s="235">
        <f>IF(Calculator!E22="","",Calculator!E22)</f>
      </c>
      <c r="H42" s="235"/>
    </row>
    <row r="43" spans="1:8" ht="12.75">
      <c r="A43" s="3">
        <f>IF(Calculator!B23="","",Calculator!B23)</f>
      </c>
      <c r="B43" s="235">
        <f>IF(Calculator!C23="","",Calculator!C23)</f>
      </c>
      <c r="C43" s="235"/>
      <c r="E43" s="235">
        <f>IF(Calculator!D23="","",Calculator!D23)</f>
      </c>
      <c r="F43" s="235"/>
      <c r="G43" s="235">
        <f>IF(Calculator!E23="","",Calculator!E23)</f>
      </c>
      <c r="H43" s="235"/>
    </row>
    <row r="44" spans="1:8" ht="12.75">
      <c r="A44" s="3">
        <f>IF(Calculator!B24="","",Calculator!B24)</f>
      </c>
      <c r="B44" s="235">
        <f>IF(Calculator!C24="","",Calculator!C24)</f>
      </c>
      <c r="C44" s="235"/>
      <c r="E44" s="235">
        <f>IF(Calculator!D24="","",Calculator!D24)</f>
      </c>
      <c r="F44" s="235"/>
      <c r="G44" s="235">
        <f>IF(Calculator!E24="","",Calculator!E24)</f>
      </c>
      <c r="H44" s="235"/>
    </row>
    <row r="45" spans="1:8" ht="12.75">
      <c r="A45" s="3">
        <f>IF(Calculator!B25="","",Calculator!B25)</f>
      </c>
      <c r="B45" s="235">
        <f>IF(Calculator!C25="","",Calculator!C25)</f>
      </c>
      <c r="C45" s="235"/>
      <c r="E45" s="235">
        <f>IF(Calculator!D25="","",Calculator!D25)</f>
      </c>
      <c r="F45" s="235"/>
      <c r="G45" s="235">
        <f>IF(Calculator!E25="","",Calculator!E25)</f>
      </c>
      <c r="H45" s="235"/>
    </row>
    <row r="46" spans="1:8" ht="12.75">
      <c r="A46" s="3">
        <f>IF(Calculator!B26="","",Calculator!B26)</f>
      </c>
      <c r="B46" s="235">
        <f>IF(Calculator!C26="","",Calculator!C26)</f>
      </c>
      <c r="C46" s="235"/>
      <c r="E46" s="235">
        <f>IF(Calculator!D26="","",Calculator!D26)</f>
      </c>
      <c r="F46" s="235"/>
      <c r="G46" s="235">
        <f>IF(Calculator!E26="","",Calculator!E26)</f>
      </c>
      <c r="H46" s="235"/>
    </row>
    <row r="47" spans="1:8" ht="12.75">
      <c r="A47" s="3">
        <f>IF(Calculator!B27="","",Calculator!B27)</f>
      </c>
      <c r="B47" s="235">
        <f>IF(Calculator!C27="","",Calculator!C27)</f>
      </c>
      <c r="C47" s="235"/>
      <c r="E47" s="235">
        <f>IF(Calculator!D27="","",Calculator!D27)</f>
      </c>
      <c r="F47" s="235"/>
      <c r="G47" s="235">
        <f>IF(Calculator!E27="","",Calculator!E27)</f>
      </c>
      <c r="H47" s="235"/>
    </row>
    <row r="48" spans="1:8" ht="12.75">
      <c r="A48" s="3">
        <f>IF(Calculator!B28="","",Calculator!B28)</f>
      </c>
      <c r="B48" s="235">
        <f>IF(Calculator!C28="","",Calculator!C28)</f>
      </c>
      <c r="C48" s="235"/>
      <c r="E48" s="235">
        <f>IF(Calculator!D28="","",Calculator!D28)</f>
      </c>
      <c r="F48" s="235"/>
      <c r="G48" s="235">
        <f>IF(Calculator!E28="","",Calculator!E28)</f>
      </c>
      <c r="H48" s="235"/>
    </row>
    <row r="49" spans="1:8" ht="12.75">
      <c r="A49" s="3">
        <f>IF(Calculator!B29="","",Calculator!B29)</f>
      </c>
      <c r="B49" s="235">
        <f>IF(Calculator!C29="","",Calculator!C29)</f>
      </c>
      <c r="C49" s="235"/>
      <c r="E49" s="235">
        <f>IF(Calculator!D29="","",Calculator!D29)</f>
      </c>
      <c r="F49" s="235"/>
      <c r="G49" s="235">
        <f>IF(Calculator!E29="","",Calculator!E29)</f>
      </c>
      <c r="H49" s="235"/>
    </row>
    <row r="50" spans="1:8" ht="12.75">
      <c r="A50" s="3">
        <f>IF(Calculator!B30="","",Calculator!B30)</f>
      </c>
      <c r="B50" s="235">
        <f>IF(Calculator!C30="","",Calculator!C30)</f>
      </c>
      <c r="C50" s="235"/>
      <c r="E50" s="235">
        <f>IF(Calculator!D30="","",Calculator!D30)</f>
      </c>
      <c r="F50" s="235"/>
      <c r="G50" s="235">
        <f>IF(Calculator!E30="","",Calculator!E30)</f>
      </c>
      <c r="H50" s="235"/>
    </row>
    <row r="51" spans="1:8" ht="12.75">
      <c r="A51" s="3">
        <f>IF(Calculator!B31="","",Calculator!B31)</f>
      </c>
      <c r="B51" s="235">
        <f>IF(Calculator!C31="","",Calculator!C31)</f>
      </c>
      <c r="C51" s="235"/>
      <c r="E51" s="235">
        <f>IF(Calculator!D31="","",Calculator!D31)</f>
      </c>
      <c r="F51" s="235"/>
      <c r="G51" s="235">
        <f>IF(Calculator!E31="","",Calculator!E31)</f>
      </c>
      <c r="H51" s="235"/>
    </row>
    <row r="52" spans="1:8" ht="12.75">
      <c r="A52" s="3">
        <f>IF(Calculator!B32="","",Calculator!B32)</f>
      </c>
      <c r="B52" s="235">
        <f>IF(Calculator!C32="","",Calculator!C32)</f>
      </c>
      <c r="C52" s="235"/>
      <c r="E52" s="235">
        <f>IF(Calculator!D32="","",Calculator!D32)</f>
      </c>
      <c r="F52" s="235"/>
      <c r="G52" s="235">
        <f>IF(Calculator!E32="","",Calculator!E32)</f>
      </c>
      <c r="H52" s="235"/>
    </row>
    <row r="53" spans="1:8" ht="12.75">
      <c r="A53" s="3">
        <f>IF(Calculator!B33="","",Calculator!B33)</f>
      </c>
      <c r="B53" s="235">
        <f>IF(Calculator!C33="","",Calculator!C33)</f>
      </c>
      <c r="C53" s="235"/>
      <c r="E53" s="235">
        <f>IF(Calculator!D33="","",Calculator!D33)</f>
      </c>
      <c r="F53" s="235"/>
      <c r="G53" s="235">
        <f>IF(Calculator!E33="","",Calculator!E33)</f>
      </c>
      <c r="H53" s="235"/>
    </row>
    <row r="54" spans="1:8" ht="12.75">
      <c r="A54" s="3">
        <f>IF(Calculator!B34="","",Calculator!B34)</f>
      </c>
      <c r="B54" s="235">
        <f>IF(Calculator!C34="","",Calculator!C34)</f>
      </c>
      <c r="C54" s="235"/>
      <c r="E54" s="235">
        <f>IF(Calculator!D34="","",Calculator!D34)</f>
      </c>
      <c r="F54" s="235"/>
      <c r="G54" s="235">
        <f>IF(Calculator!E34="","",Calculator!E34)</f>
      </c>
      <c r="H54" s="235"/>
    </row>
    <row r="55" spans="1:8" ht="12.75">
      <c r="A55" s="3">
        <f>IF(Calculator!B35="","",Calculator!B35)</f>
      </c>
      <c r="B55" s="235">
        <f>IF(Calculator!C35="","",Calculator!C35)</f>
      </c>
      <c r="C55" s="235"/>
      <c r="E55" s="235">
        <f>IF(Calculator!D35="","",Calculator!D35)</f>
      </c>
      <c r="F55" s="235"/>
      <c r="G55" s="235">
        <f>IF(Calculator!E35="","",Calculator!E35)</f>
      </c>
      <c r="H55" s="235"/>
    </row>
    <row r="56" spans="2:3" ht="12.75">
      <c r="B56" s="25"/>
      <c r="C56" s="25"/>
    </row>
    <row r="57" spans="2:3" ht="12.75">
      <c r="B57" s="134"/>
      <c r="C57" s="134"/>
    </row>
    <row r="58" spans="2:3" ht="12.75">
      <c r="B58" s="134"/>
      <c r="C58" s="134"/>
    </row>
    <row r="59" spans="2:3" ht="12.75">
      <c r="B59" s="134"/>
      <c r="C59" s="134"/>
    </row>
    <row r="60" spans="2:3" ht="12.75">
      <c r="B60" s="134"/>
      <c r="C60" s="134"/>
    </row>
    <row r="61" spans="2:3" ht="12.75">
      <c r="B61" s="134"/>
      <c r="C61" s="134"/>
    </row>
  </sheetData>
  <sheetProtection password="CD0C" sheet="1" objects="1" scenarios="1" selectLockedCells="1" selectUnlockedCells="1"/>
  <mergeCells count="85">
    <mergeCell ref="B7:D7"/>
    <mergeCell ref="B9:D9"/>
    <mergeCell ref="B5:D5"/>
    <mergeCell ref="B1:D1"/>
    <mergeCell ref="B3:D3"/>
    <mergeCell ref="G15:H15"/>
    <mergeCell ref="G14:H14"/>
    <mergeCell ref="G13:H13"/>
    <mergeCell ref="E16:F16"/>
    <mergeCell ref="E15:F15"/>
    <mergeCell ref="E14:F14"/>
    <mergeCell ref="E13:F13"/>
    <mergeCell ref="B55:C55"/>
    <mergeCell ref="B54:C54"/>
    <mergeCell ref="B53:C53"/>
    <mergeCell ref="B52:C52"/>
    <mergeCell ref="B51:C51"/>
    <mergeCell ref="A25:B25"/>
    <mergeCell ref="A33:A35"/>
    <mergeCell ref="B33:C35"/>
    <mergeCell ref="A32:C32"/>
    <mergeCell ref="B50:C50"/>
    <mergeCell ref="B49:C49"/>
    <mergeCell ref="B48:C48"/>
    <mergeCell ref="B47:C47"/>
    <mergeCell ref="B46:C46"/>
    <mergeCell ref="B45:C45"/>
    <mergeCell ref="B44:C44"/>
    <mergeCell ref="B43:C43"/>
    <mergeCell ref="B42:C42"/>
    <mergeCell ref="B41:C41"/>
    <mergeCell ref="B40:C40"/>
    <mergeCell ref="B39:C39"/>
    <mergeCell ref="B38:C38"/>
    <mergeCell ref="B37:C37"/>
    <mergeCell ref="B36:C36"/>
    <mergeCell ref="G33:H35"/>
    <mergeCell ref="E33:F35"/>
    <mergeCell ref="E32:H32"/>
    <mergeCell ref="E36:F36"/>
    <mergeCell ref="E37:F37"/>
    <mergeCell ref="G36:H36"/>
    <mergeCell ref="G37:H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25:H25"/>
    <mergeCell ref="E25:F25"/>
    <mergeCell ref="C25:D25"/>
    <mergeCell ref="G17:H17"/>
    <mergeCell ref="E17:F17"/>
    <mergeCell ref="G16:H16"/>
  </mergeCells>
  <conditionalFormatting sqref="E15:F15">
    <cfRule type="expression" priority="2" dxfId="17" stopIfTrue="1">
      <formula>$E$15&gt;1000</formula>
    </cfRule>
  </conditionalFormatting>
  <conditionalFormatting sqref="G15:H15">
    <cfRule type="expression" priority="1" dxfId="17" stopIfTrue="1">
      <formula>$G$15&gt;1000</formula>
    </cfRule>
  </conditionalFormatting>
  <printOptions/>
  <pageMargins left="0.7" right="0.7" top="0.75" bottom="0.75" header="0.3" footer="0.3"/>
  <pageSetup horizontalDpi="600" verticalDpi="600" orientation="portrait" r:id="rId1"/>
  <headerFooter>
    <oddHeader>&amp;L&amp;"Arial,Bold"&amp;16&amp;A</oddHeader>
    <oddFooter>&amp;L&amp;D&amp;CPage &amp;P of &amp;N&amp;R&amp;F</oddFooter>
  </headerFooter>
</worksheet>
</file>

<file path=xl/worksheets/sheet6.xml><?xml version="1.0" encoding="utf-8"?>
<worksheet xmlns="http://schemas.openxmlformats.org/spreadsheetml/2006/main" xmlns:r="http://schemas.openxmlformats.org/officeDocument/2006/relationships">
  <sheetPr codeName="shStats">
    <pageSetUpPr fitToPage="1"/>
  </sheetPr>
  <dimension ref="A1:O3"/>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7109375" style="0" bestFit="1" customWidth="1"/>
    <col min="2" max="2" width="11.421875" style="0" bestFit="1" customWidth="1"/>
    <col min="3" max="3" width="10.7109375" style="101" customWidth="1"/>
    <col min="4" max="4" width="10.140625" style="102" bestFit="1" customWidth="1"/>
    <col min="5" max="5" width="13.140625" style="101" bestFit="1" customWidth="1"/>
    <col min="6" max="6" width="13.28125" style="101" bestFit="1" customWidth="1"/>
    <col min="7" max="7" width="30.57421875" style="101" bestFit="1" customWidth="1"/>
    <col min="8" max="8" width="16.28125" style="101" bestFit="1" customWidth="1"/>
    <col min="9" max="9" width="17.00390625" style="101" bestFit="1" customWidth="1"/>
    <col min="10" max="10" width="29.140625" style="145" bestFit="1" customWidth="1"/>
    <col min="11" max="11" width="17.7109375" style="101" bestFit="1" customWidth="1"/>
    <col min="12" max="12" width="12.8515625" style="101" bestFit="1" customWidth="1"/>
    <col min="13" max="13" width="18.140625" style="101" bestFit="1" customWidth="1"/>
    <col min="14" max="14" width="11.57421875" style="138" bestFit="1" customWidth="1"/>
    <col min="15" max="15" width="17.8515625" style="138" bestFit="1" customWidth="1"/>
  </cols>
  <sheetData>
    <row r="1" spans="1:15" ht="12.75">
      <c r="A1" s="130" t="s">
        <v>160</v>
      </c>
      <c r="B1" s="130" t="s">
        <v>161</v>
      </c>
      <c r="C1" s="103" t="s">
        <v>47</v>
      </c>
      <c r="D1" s="103" t="s">
        <v>48</v>
      </c>
      <c r="E1" s="103" t="s">
        <v>57</v>
      </c>
      <c r="F1" s="146" t="s">
        <v>115</v>
      </c>
      <c r="G1" s="103" t="s">
        <v>49</v>
      </c>
      <c r="H1" s="103" t="s">
        <v>51</v>
      </c>
      <c r="I1" s="103" t="s">
        <v>50</v>
      </c>
      <c r="J1" s="144" t="s">
        <v>114</v>
      </c>
      <c r="K1" s="103" t="s">
        <v>52</v>
      </c>
      <c r="L1" s="103" t="s">
        <v>53</v>
      </c>
      <c r="M1" s="103" t="s">
        <v>54</v>
      </c>
      <c r="N1" s="103" t="s">
        <v>55</v>
      </c>
      <c r="O1" s="103" t="s">
        <v>56</v>
      </c>
    </row>
    <row r="2" spans="5:6" ht="12.75">
      <c r="E2" s="102"/>
      <c r="F2" s="102"/>
    </row>
    <row r="3" spans="5:6" ht="12.75">
      <c r="E3" s="102"/>
      <c r="F3" s="102"/>
    </row>
  </sheetData>
  <sheetProtection formatCells="0" formatColumns="0" formatRows="0" selectLockedCells="1" sort="0" autoFilter="0" pivotTables="0"/>
  <printOptions/>
  <pageMargins left="0.7" right="0.7" top="0.75" bottom="0.75" header="0.3" footer="0.3"/>
  <pageSetup fitToHeight="0" fitToWidth="1" horizontalDpi="600" verticalDpi="600" orientation="landscape" scale="75" r:id="rId1"/>
  <headerFooter>
    <oddHeader>&amp;C&amp;A</oddHeader>
    <oddFooter>&amp;L&amp;D&amp;CPage &amp;P of &amp;N&amp;R&amp;F</oddFooter>
  </headerFooter>
</worksheet>
</file>

<file path=xl/worksheets/sheet7.xml><?xml version="1.0" encoding="utf-8"?>
<worksheet xmlns="http://schemas.openxmlformats.org/spreadsheetml/2006/main" xmlns:r="http://schemas.openxmlformats.org/officeDocument/2006/relationships">
  <sheetPr codeName="shFormulas"/>
  <dimension ref="A1:O7"/>
  <sheetViews>
    <sheetView zoomScalePageLayoutView="0" workbookViewId="0" topLeftCell="A1">
      <pane ySplit="1" topLeftCell="A2" activePane="bottomLeft" state="frozen"/>
      <selection pane="topLeft" activeCell="A1" sqref="A1"/>
      <selection pane="bottomLeft" activeCell="N2" sqref="N2:O2"/>
    </sheetView>
  </sheetViews>
  <sheetFormatPr defaultColWidth="9.140625" defaultRowHeight="12.75"/>
  <cols>
    <col min="1" max="1" width="9.421875" style="0" customWidth="1"/>
    <col min="2" max="2" width="11.421875" style="0" customWidth="1"/>
    <col min="3" max="3" width="7.57421875" style="0" customWidth="1"/>
    <col min="4" max="4" width="10.140625" style="0" bestFit="1" customWidth="1"/>
    <col min="5" max="5" width="13.140625" style="0" bestFit="1" customWidth="1"/>
    <col min="6" max="6" width="13.140625" style="0" customWidth="1"/>
    <col min="7" max="7" width="12.28125" style="0" customWidth="1"/>
    <col min="8" max="8" width="16.00390625" style="0" bestFit="1" customWidth="1"/>
    <col min="9" max="9" width="9.00390625" style="0" bestFit="1" customWidth="1"/>
    <col min="10" max="10" width="28.421875" style="0" bestFit="1" customWidth="1"/>
    <col min="11" max="11" width="16.7109375" style="0" bestFit="1" customWidth="1"/>
    <col min="12" max="12" width="12.140625" style="0" bestFit="1" customWidth="1"/>
    <col min="13" max="13" width="17.28125" style="0" bestFit="1" customWidth="1"/>
    <col min="14" max="14" width="11.57421875" style="0" bestFit="1" customWidth="1"/>
    <col min="15" max="15" width="17.8515625" style="0" bestFit="1" customWidth="1"/>
  </cols>
  <sheetData>
    <row r="1" spans="1:15" ht="12.75">
      <c r="A1" s="45" t="str">
        <f>Statistics!A1</f>
        <v>Lab Name</v>
      </c>
      <c r="B1" s="45" t="str">
        <f>Statistics!B1</f>
        <v>Client Name</v>
      </c>
      <c r="C1" s="45" t="str">
        <f>Statistics!C1</f>
        <v>Test ID</v>
      </c>
      <c r="D1" s="45" t="str">
        <f>Statistics!D1</f>
        <v>Test Date</v>
      </c>
      <c r="E1" s="45" t="str">
        <f>Statistics!E1</f>
        <v>Test Duration</v>
      </c>
      <c r="F1" s="143" t="s">
        <v>115</v>
      </c>
      <c r="G1" s="45" t="str">
        <f>Statistics!G1</f>
        <v>Test Species</v>
      </c>
      <c r="H1" s="45" t="str">
        <f>Statistics!H1</f>
        <v>Chronic or Acute</v>
      </c>
      <c r="I1" s="45" t="str">
        <f>Statistics!I1</f>
        <v>Endpoint</v>
      </c>
      <c r="J1" s="143" t="s">
        <v>114</v>
      </c>
      <c r="K1" s="45" t="str">
        <f>Statistics!K1</f>
        <v>Calculated t-value</v>
      </c>
      <c r="L1" s="45" t="str">
        <f>Statistics!L1</f>
        <v>Table t-value</v>
      </c>
      <c r="M1" s="45" t="str">
        <f>Statistics!M1</f>
        <v>Percent Difference</v>
      </c>
      <c r="N1" s="46" t="str">
        <f>Statistics!N1</f>
        <v>Pass or Fail</v>
      </c>
      <c r="O1" s="46" t="str">
        <f>Statistics!O1</f>
        <v>Toxic or Non-toxic</v>
      </c>
    </row>
    <row r="2" spans="1:15" ht="12.75">
      <c r="A2" s="43">
        <f>IF(Calculator!B4="","",Calculator!B4)</f>
      </c>
      <c r="B2" s="43">
        <f>IF(Calculator!B5="","",Calculator!B5)</f>
      </c>
      <c r="C2" s="43">
        <f>IF(Calculator!B6="","",Calculator!B6)</f>
      </c>
      <c r="D2" s="44">
        <f>IF(Calculator!B7="","",Calculator!B7)</f>
      </c>
      <c r="E2" s="44">
        <f>IF(Calculator!B8="","",Calculator!B8)</f>
      </c>
      <c r="F2" s="44">
        <f>IF(Calculator!B9="","",Calculator!B9)</f>
      </c>
      <c r="G2" s="43" t="str">
        <f>IF(Calculator!C37="Choose from menu","",Calculator!C37)</f>
        <v>Click to Choose from Menu</v>
      </c>
      <c r="H2" s="43" t="str">
        <f>IF(Calculator!C39="Choose from menu","",Calculator!C39)</f>
        <v>Click to Choose from Menu</v>
      </c>
      <c r="I2" s="43" t="str">
        <f>IF(Calculator!C41="Choose from menu","",Calculator!C41)</f>
        <v>Click to Choose from Menu</v>
      </c>
      <c r="J2" s="49">
        <f>IF(ISNUMBER(Calculator!S24),Calculator!S24,"")</f>
      </c>
      <c r="K2" s="49">
        <f>IF(ISNUMBER(Calculator!S26),Calculator!S26,"")</f>
      </c>
      <c r="L2" s="49">
        <f>IF(ISNUMBER(Calculator!S28),Calculator!S28,"")</f>
      </c>
      <c r="M2" s="43">
        <f>IF(AND(Calculator!S19=0,Calculator!T19=0),((AVERAGE(Calculator!C16:C27)-AVERAGE(Calculator!E16:E27))/AVERAGE(Calculator!C16:C27))*100,"")</f>
      </c>
      <c r="N2" s="43">
        <f>IF(K2&lt;L2,"Fail",IF(K2&gt;L2,"Pass",IF(AND(H2="Acute",M2&gt;=20),"Fail",IF(AND(H2="Acute",M2&lt;20),"Pass",IF(AND(H2="Chronic",M2&gt;=25),"Fail",IF(AND(H2="Chronic",M2&lt;25),"Pass",""))))))</f>
      </c>
      <c r="O2" s="43">
        <f>IF(K2&lt;L2,"Toxic",IF(K2&gt;L2,"Non-toxic",IF(AND(H2="Acute",M2&gt;=20),"Toxic",IF(AND(H2="Acute",M2&lt;20),"Non-toxic",IF(AND(H2="Chronic",M2&gt;=25),"Toxic",IF(AND(H2="Chronic",M2&lt;25),"Non-toxic",""))))))</f>
      </c>
    </row>
    <row r="5" ht="12.75">
      <c r="A5" t="s">
        <v>60</v>
      </c>
    </row>
    <row r="6" ht="12.75">
      <c r="A6" s="42" t="s">
        <v>58</v>
      </c>
    </row>
    <row r="7" ht="12.75">
      <c r="A7" s="41" t="s">
        <v>59</v>
      </c>
    </row>
  </sheetData>
  <sheetProtection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 Zheng</dc:creator>
  <cp:keywords/>
  <dc:description/>
  <cp:lastModifiedBy>Gilliam, Jaime</cp:lastModifiedBy>
  <cp:lastPrinted>2013-12-26T20:04:41Z</cp:lastPrinted>
  <dcterms:created xsi:type="dcterms:W3CDTF">2009-07-07T16:54:59Z</dcterms:created>
  <dcterms:modified xsi:type="dcterms:W3CDTF">2013-12-26T20:23:35Z</dcterms:modified>
  <cp:category/>
  <cp:version/>
  <cp:contentType/>
  <cp:contentStatus/>
</cp:coreProperties>
</file>