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3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8760" windowHeight="6690" tabRatio="901" activeTab="2"/>
  </bookViews>
  <sheets>
    <sheet name="Input" sheetId="1" r:id="rId1"/>
    <sheet name="OutMsg" sheetId="2" state="hidden" r:id="rId2"/>
    <sheet name="Criteria" sheetId="3" r:id="rId3"/>
    <sheet name="RPAinput" sheetId="4" r:id="rId4"/>
    <sheet name="Appndix-F2(RPA)" sheetId="5" r:id="rId5"/>
    <sheet name="WQBEL" sheetId="6" r:id="rId6"/>
    <sheet name="EffData" sheetId="7" r:id="rId7"/>
    <sheet name="SumChem" sheetId="8" r:id="rId8"/>
    <sheet name="CV" sheetId="9" r:id="rId9"/>
    <sheet name="fs_RPA" sheetId="10" r:id="rId10"/>
    <sheet name="Dioxin" sheetId="11" r:id="rId11"/>
    <sheet name="DioxSum" sheetId="12" r:id="rId12"/>
    <sheet name="Feasib" sheetId="13" r:id="rId13"/>
    <sheet name="ProbPlot" sheetId="14" r:id="rId14"/>
  </sheets>
  <definedNames>
    <definedName name="BAvg1">'RPAinput'!$N$5</definedName>
    <definedName name="BAvg10">'RPAinput'!$N$15</definedName>
    <definedName name="BAvg100">'RPAinput'!$N$106</definedName>
    <definedName name="BAvg1001">'RPAinput'!$N$128</definedName>
    <definedName name="BAvg1002">'RPAinput'!$N$129</definedName>
    <definedName name="BAvg101">'RPAinput'!$N$107</definedName>
    <definedName name="BAvg102">'RPAinput'!$N$108</definedName>
    <definedName name="BAvg103">'RPAinput'!$N$109</definedName>
    <definedName name="BAvg104">'RPAinput'!$N$110</definedName>
    <definedName name="BAvg105">'RPAinput'!$N$111</definedName>
    <definedName name="BAvg106">'RPAinput'!$N$112</definedName>
    <definedName name="BAvg107">'RPAinput'!$N$113</definedName>
    <definedName name="BAvg108">'RPAinput'!$N$114</definedName>
    <definedName name="BAvg109">'RPAinput'!$N$115</definedName>
    <definedName name="BAvg11">'RPAinput'!$N$16</definedName>
    <definedName name="BAvg110">'RPAinput'!$N$116</definedName>
    <definedName name="BAvg111">'RPAinput'!$N$117</definedName>
    <definedName name="BAvg112">'RPAinput'!$N$118</definedName>
    <definedName name="BAvg113">'RPAinput'!$N$119</definedName>
    <definedName name="BAvg114">'RPAinput'!$N$120</definedName>
    <definedName name="BAvg115">'RPAinput'!$N$121</definedName>
    <definedName name="BAvg116">'RPAinput'!$N$122</definedName>
    <definedName name="BAvg117">'RPAinput'!$N$123</definedName>
    <definedName name="BAvg118">'RPAinput'!$N$124</definedName>
    <definedName name="BAvg119">'RPAinput'!$N$125</definedName>
    <definedName name="BAvg12">'RPAinput'!$N$17</definedName>
    <definedName name="BAvg125.5">'RPAinput'!$N$126</definedName>
    <definedName name="BAvg126">'RPAinput'!$N$127</definedName>
    <definedName name="BAvg13">'RPAinput'!$N$18</definedName>
    <definedName name="BAvg14">'RPAinput'!$N$19</definedName>
    <definedName name="BAvg15">'RPAinput'!$N$20</definedName>
    <definedName name="BAvg16">'RPAinput'!$N$22</definedName>
    <definedName name="BAvg17">'RPAinput'!$N$23</definedName>
    <definedName name="BAvg18">'RPAinput'!$N$24</definedName>
    <definedName name="BAvg19">'RPAinput'!$N$25</definedName>
    <definedName name="BAvg2">'RPAinput'!$N$6</definedName>
    <definedName name="BAvg20">'RPAinput'!$N$26</definedName>
    <definedName name="BAvg21">'RPAinput'!$N$27</definedName>
    <definedName name="BAvg22">'RPAinput'!$N$28</definedName>
    <definedName name="BAvg23">'RPAinput'!$N$29</definedName>
    <definedName name="BAvg24">'RPAinput'!$N$30</definedName>
    <definedName name="BAvg25">'RPAinput'!$N$31</definedName>
    <definedName name="BAvg26">'RPAinput'!$N$32</definedName>
    <definedName name="BAvg27">'RPAinput'!$N$33</definedName>
    <definedName name="BAvg28">'RPAinput'!$N$34</definedName>
    <definedName name="BAvg29">'RPAinput'!$N$35</definedName>
    <definedName name="BAvg3">'RPAinput'!$N$7</definedName>
    <definedName name="BAvg30">'RPAinput'!$N$36</definedName>
    <definedName name="BAvg31">'RPAinput'!$N$37</definedName>
    <definedName name="BAvg32">'RPAinput'!$N$38</definedName>
    <definedName name="BAvg33">'RPAinput'!$N$39</definedName>
    <definedName name="BAvg34">'RPAinput'!$N$40</definedName>
    <definedName name="BAvg35">'RPAinput'!$N$41</definedName>
    <definedName name="BAvg36">'RPAinput'!$N$42</definedName>
    <definedName name="BAvg37">'RPAinput'!$N$43</definedName>
    <definedName name="BAvg38">'RPAinput'!$N$44</definedName>
    <definedName name="BAvg39">'RPAinput'!$N$45</definedName>
    <definedName name="BAvg4">'RPAinput'!$N$8</definedName>
    <definedName name="BAvg40">'RPAinput'!$N$46</definedName>
    <definedName name="BAvg41">'RPAinput'!$N$47</definedName>
    <definedName name="BAvg42">'RPAinput'!$N$48</definedName>
    <definedName name="BAvg43">'RPAinput'!$N$49</definedName>
    <definedName name="BAvg44">'RPAinput'!$N$50</definedName>
    <definedName name="BAvg45">'RPAinput'!$N$51</definedName>
    <definedName name="BAvg46">'RPAinput'!$N$52</definedName>
    <definedName name="BAvg47">'RPAinput'!$N$53</definedName>
    <definedName name="BAvg48">'RPAinput'!$N$54</definedName>
    <definedName name="BAvg49">'RPAinput'!$N$55</definedName>
    <definedName name="BAvg5.1">'RPAinput'!$N$9</definedName>
    <definedName name="BAvg5.2">'RPAinput'!$N$10</definedName>
    <definedName name="BAvg50">'RPAinput'!$N$56</definedName>
    <definedName name="BAvg51">'RPAinput'!$N$57</definedName>
    <definedName name="BAvg52">'RPAinput'!$N$58</definedName>
    <definedName name="BAvg53">'RPAinput'!$N$59</definedName>
    <definedName name="BAvg54">'RPAinput'!$N$60</definedName>
    <definedName name="BAvg55">'RPAinput'!$N$61</definedName>
    <definedName name="BAvg56">'RPAinput'!$N$62</definedName>
    <definedName name="BAvg57">'RPAinput'!$N$63</definedName>
    <definedName name="BAvg58">'RPAinput'!$N$64</definedName>
    <definedName name="BAvg59">'RPAinput'!$N$65</definedName>
    <definedName name="BAvg6">'RPAinput'!$N$11</definedName>
    <definedName name="BAvg60">'RPAinput'!$N$66</definedName>
    <definedName name="BAvg61">'RPAinput'!$N$67</definedName>
    <definedName name="BAvg62">'RPAinput'!$N$68</definedName>
    <definedName name="BAvg63">'RPAinput'!$N$69</definedName>
    <definedName name="BAvg64">'RPAinput'!$N$70</definedName>
    <definedName name="BAvg65">'RPAinput'!$N$71</definedName>
    <definedName name="BAvg66">'RPAinput'!$N$72</definedName>
    <definedName name="BAvg67">'RPAinput'!$N$73</definedName>
    <definedName name="BAvg68">'RPAinput'!$N$74</definedName>
    <definedName name="BAvg69">'RPAinput'!$N$75</definedName>
    <definedName name="BAvg7">'RPAinput'!$N$12</definedName>
    <definedName name="BAvg70">'RPAinput'!$N$76</definedName>
    <definedName name="BAvg71">'RPAinput'!$N$77</definedName>
    <definedName name="BAvg72">'RPAinput'!$N$78</definedName>
    <definedName name="BAvg73">'RPAinput'!$N$79</definedName>
    <definedName name="BAvg74">'RPAinput'!$N$80</definedName>
    <definedName name="BAvg75">'RPAinput'!$N$81</definedName>
    <definedName name="BAvg76">'RPAinput'!$N$82</definedName>
    <definedName name="BAvg77">'RPAinput'!$N$83</definedName>
    <definedName name="BAvg78">'RPAinput'!$N$84</definedName>
    <definedName name="BAvg79">'RPAinput'!$N$85</definedName>
    <definedName name="BAvg8">'RPAinput'!$N$13</definedName>
    <definedName name="BAvg80">'RPAinput'!$N$86</definedName>
    <definedName name="BAvg81">'RPAinput'!$N$87</definedName>
    <definedName name="BAvg82">'RPAinput'!$N$88</definedName>
    <definedName name="BAvg83">'RPAinput'!$N$89</definedName>
    <definedName name="BAvg84">'RPAinput'!$N$90</definedName>
    <definedName name="BAvg85">'RPAinput'!$N$91</definedName>
    <definedName name="BAvg86">'RPAinput'!$N$92</definedName>
    <definedName name="BAvg87">'RPAinput'!$N$93</definedName>
    <definedName name="BAvg88">'RPAinput'!$N$94</definedName>
    <definedName name="BAvg89">'RPAinput'!$N$95</definedName>
    <definedName name="BAvg9">'RPAinput'!$N$14</definedName>
    <definedName name="BAvg90">'RPAinput'!$N$96</definedName>
    <definedName name="BAvg91">'RPAinput'!$N$97</definedName>
    <definedName name="BAvg92">'RPAinput'!$N$98</definedName>
    <definedName name="BAvg93">'RPAinput'!$N$99</definedName>
    <definedName name="BAvg94">'RPAinput'!$N$100</definedName>
    <definedName name="BAvg95">'RPAinput'!$N$101</definedName>
    <definedName name="BAvg96">'RPAinput'!$N$102</definedName>
    <definedName name="BAvg97">'RPAinput'!$N$103</definedName>
    <definedName name="BAvg98">'RPAinput'!$N$104</definedName>
    <definedName name="BAvg99">'RPAinput'!$N$105</definedName>
    <definedName name="Bio1">'Criteria'!$C$9</definedName>
    <definedName name="Bio10">'Criteria'!$C$19</definedName>
    <definedName name="Bio100">'Criteria'!$C$110</definedName>
    <definedName name="Bio1001">'Criteria'!$C$132</definedName>
    <definedName name="Bio1002">'Criteria'!$C$133</definedName>
    <definedName name="Bio101">'Criteria'!$C$111</definedName>
    <definedName name="Bio102">'Criteria'!$C$112</definedName>
    <definedName name="Bio103">'Criteria'!$C$113</definedName>
    <definedName name="Bio104">'Criteria'!$C$114</definedName>
    <definedName name="Bio105">'Criteria'!$C$115</definedName>
    <definedName name="Bio106">'Criteria'!$C$116</definedName>
    <definedName name="Bio107">'Criteria'!$C$117</definedName>
    <definedName name="Bio108">'Criteria'!$C$118</definedName>
    <definedName name="Bio109">'Criteria'!$C$119</definedName>
    <definedName name="Bio11">'Criteria'!$C$20</definedName>
    <definedName name="Bio110">'Criteria'!$C$120</definedName>
    <definedName name="Bio111">'Criteria'!$C$121</definedName>
    <definedName name="Bio112">'Criteria'!$C$122</definedName>
    <definedName name="Bio113">'Criteria'!$C$123</definedName>
    <definedName name="Bio114">'Criteria'!$C$124</definedName>
    <definedName name="Bio115">'Criteria'!$C$125</definedName>
    <definedName name="Bio116">'Criteria'!$C$126</definedName>
    <definedName name="Bio117">'Criteria'!$C$127</definedName>
    <definedName name="Bio118">'Criteria'!$C$128</definedName>
    <definedName name="Bio119">'Criteria'!$C$129</definedName>
    <definedName name="Bio12">'Criteria'!$C$21</definedName>
    <definedName name="Bio125.5">'Criteria'!$C$130</definedName>
    <definedName name="Bio126">'Criteria'!$C$131</definedName>
    <definedName name="Bio13">'Criteria'!$C$22</definedName>
    <definedName name="Bio14">'Criteria'!$C$23</definedName>
    <definedName name="Bio15">'Criteria'!$C$24</definedName>
    <definedName name="Bio16">'Criteria'!$C$26</definedName>
    <definedName name="Bio17">'Criteria'!$C$27</definedName>
    <definedName name="Bio18">'Criteria'!$C$28</definedName>
    <definedName name="Bio19">'Criteria'!$C$29</definedName>
    <definedName name="Bio2">'Criteria'!$C$10</definedName>
    <definedName name="Bio20">'Criteria'!$C$30</definedName>
    <definedName name="Bio21">'Criteria'!$C$31</definedName>
    <definedName name="Bio22">'Criteria'!$C$32</definedName>
    <definedName name="Bio23">'Criteria'!$C$33</definedName>
    <definedName name="Bio24">'Criteria'!$C$34</definedName>
    <definedName name="Bio25">'Criteria'!$C$35</definedName>
    <definedName name="Bio26">'Criteria'!$C$36</definedName>
    <definedName name="Bio27">'Criteria'!$C$37</definedName>
    <definedName name="Bio28">'Criteria'!$C$38</definedName>
    <definedName name="Bio29">'Criteria'!$C$39</definedName>
    <definedName name="Bio3">'Criteria'!$C$11</definedName>
    <definedName name="Bio30">'Criteria'!$C$40</definedName>
    <definedName name="Bio31">'Criteria'!$C$41</definedName>
    <definedName name="Bio32">'Criteria'!$C$42</definedName>
    <definedName name="Bio33">'Criteria'!$C$43</definedName>
    <definedName name="Bio34">'Criteria'!$C$44</definedName>
    <definedName name="Bio35">'Criteria'!$C$45</definedName>
    <definedName name="Bio36">'Criteria'!$C$46</definedName>
    <definedName name="Bio37">'Criteria'!$C$47</definedName>
    <definedName name="Bio38">'Criteria'!$C$48</definedName>
    <definedName name="Bio39">'Criteria'!$C$49</definedName>
    <definedName name="Bio4">'Criteria'!$C$12</definedName>
    <definedName name="Bio40">'Criteria'!$C$50</definedName>
    <definedName name="Bio41">'Criteria'!$C$51</definedName>
    <definedName name="Bio42">'Criteria'!$C$52</definedName>
    <definedName name="Bio43">'Criteria'!$C$53</definedName>
    <definedName name="Bio44">'Criteria'!$C$54</definedName>
    <definedName name="Bio45">'Criteria'!$C$55</definedName>
    <definedName name="Bio46">'Criteria'!$C$56</definedName>
    <definedName name="Bio47">'Criteria'!$C$57</definedName>
    <definedName name="Bio48">'Criteria'!$C$58</definedName>
    <definedName name="Bio49">'Criteria'!$C$59</definedName>
    <definedName name="Bio5.1">'Criteria'!$C$13</definedName>
    <definedName name="Bio5.2">'Criteria'!$C$14</definedName>
    <definedName name="Bio50">'Criteria'!$C$60</definedName>
    <definedName name="Bio51">'Criteria'!$C$61</definedName>
    <definedName name="Bio52">'Criteria'!$C$62</definedName>
    <definedName name="Bio53">'Criteria'!$C$63</definedName>
    <definedName name="Bio54">'Criteria'!$C$64</definedName>
    <definedName name="Bio55">'Criteria'!$C$65</definedName>
    <definedName name="Bio56">'Criteria'!$C$66</definedName>
    <definedName name="Bio57">'Criteria'!$C$67</definedName>
    <definedName name="Bio58">'Criteria'!$C$68</definedName>
    <definedName name="Bio59">'Criteria'!$C$69</definedName>
    <definedName name="Bio6">'Criteria'!$C$15</definedName>
    <definedName name="Bio60">'Criteria'!$C$70</definedName>
    <definedName name="Bio61">'Criteria'!$C$71</definedName>
    <definedName name="Bio62">'Criteria'!$C$72</definedName>
    <definedName name="Bio63">'Criteria'!$C$73</definedName>
    <definedName name="Bio64">'Criteria'!$C$74</definedName>
    <definedName name="Bio65">'Criteria'!$C$75</definedName>
    <definedName name="Bio66">'Criteria'!$C$76</definedName>
    <definedName name="Bio67">'Criteria'!$C$77</definedName>
    <definedName name="Bio68">'Criteria'!$C$78</definedName>
    <definedName name="Bio69">'Criteria'!$C$79</definedName>
    <definedName name="Bio7">'Criteria'!$C$16</definedName>
    <definedName name="Bio70">'Criteria'!$C$80</definedName>
    <definedName name="Bio71">'Criteria'!$C$81</definedName>
    <definedName name="Bio72">'Criteria'!$C$82</definedName>
    <definedName name="Bio73">'Criteria'!$C$83</definedName>
    <definedName name="Bio74">'Criteria'!$C$84</definedName>
    <definedName name="Bio75">'Criteria'!$C$85</definedName>
    <definedName name="Bio76">'Criteria'!$C$86</definedName>
    <definedName name="Bio77">'Criteria'!$C$87</definedName>
    <definedName name="Bio78">'Criteria'!$C$88</definedName>
    <definedName name="Bio79">'Criteria'!$C$89</definedName>
    <definedName name="Bio8">'Criteria'!$C$17</definedName>
    <definedName name="Bio80">'Criteria'!$C$90</definedName>
    <definedName name="Bio81">'Criteria'!$C$91</definedName>
    <definedName name="Bio82">'Criteria'!$C$92</definedName>
    <definedName name="Bio83">'Criteria'!$C$93</definedName>
    <definedName name="Bio84">'Criteria'!$C$94</definedName>
    <definedName name="Bio85">'Criteria'!$C$95</definedName>
    <definedName name="Bio86">'Criteria'!$C$96</definedName>
    <definedName name="Bio87">'Criteria'!$C$97</definedName>
    <definedName name="Bio88">'Criteria'!$C$98</definedName>
    <definedName name="Bio89">'Criteria'!$C$99</definedName>
    <definedName name="Bio9">'Criteria'!$C$18</definedName>
    <definedName name="Bio90">'Criteria'!$C$100</definedName>
    <definedName name="Bio91">'Criteria'!$C$101</definedName>
    <definedName name="Bio92">'Criteria'!$C$102</definedName>
    <definedName name="Bio93">'Criteria'!$C$103</definedName>
    <definedName name="Bio94">'Criteria'!$C$104</definedName>
    <definedName name="Bio95">'Criteria'!$C$105</definedName>
    <definedName name="Bio96">'Criteria'!$C$106</definedName>
    <definedName name="Bio97">'Criteria'!$C$107</definedName>
    <definedName name="Bio98">'Criteria'!$C$108</definedName>
    <definedName name="Bio99">'Criteria'!$C$109</definedName>
    <definedName name="BMax1">'RPAinput'!$M$5</definedName>
    <definedName name="BMax10">'RPAinput'!$M$15</definedName>
    <definedName name="BMax100">'RPAinput'!$M$106</definedName>
    <definedName name="BMax1001">'RPAinput'!$M$128</definedName>
    <definedName name="BMax1002">'RPAinput'!$M$129</definedName>
    <definedName name="BMax101">'RPAinput'!$M$107</definedName>
    <definedName name="BMax102">'RPAinput'!$M$108</definedName>
    <definedName name="BMax103">'RPAinput'!$M$109</definedName>
    <definedName name="BMax104">'RPAinput'!$M$110</definedName>
    <definedName name="BMax105">'RPAinput'!$M$111</definedName>
    <definedName name="BMax106">'RPAinput'!$M$112</definedName>
    <definedName name="BMax107">'RPAinput'!$M$113</definedName>
    <definedName name="BMax108">'RPAinput'!$M$114</definedName>
    <definedName name="BMax109">'RPAinput'!$M$115</definedName>
    <definedName name="BMax11">'RPAinput'!$M$16</definedName>
    <definedName name="BMax110">'RPAinput'!$M$116</definedName>
    <definedName name="BMax111">'RPAinput'!$M$117</definedName>
    <definedName name="BMax112">'RPAinput'!$M$118</definedName>
    <definedName name="BMax113">'RPAinput'!$M$119</definedName>
    <definedName name="BMax114">'RPAinput'!$M$120</definedName>
    <definedName name="BMax115">'RPAinput'!$M$121</definedName>
    <definedName name="BMax116">'RPAinput'!$M$122</definedName>
    <definedName name="BMax117">'RPAinput'!$M$123</definedName>
    <definedName name="BMax118">'RPAinput'!$M$124</definedName>
    <definedName name="BMax119">'RPAinput'!$M$125</definedName>
    <definedName name="BMax12">'RPAinput'!$M$17</definedName>
    <definedName name="BMax125.5">'RPAinput'!$M$126</definedName>
    <definedName name="BMax126">'RPAinput'!$M$127</definedName>
    <definedName name="BMax13">'RPAinput'!$M$18</definedName>
    <definedName name="BMax14">'RPAinput'!$M$19</definedName>
    <definedName name="BMax15">'RPAinput'!$M$20</definedName>
    <definedName name="BMax16">'RPAinput'!$M$22</definedName>
    <definedName name="BMax17">'RPAinput'!$M$23</definedName>
    <definedName name="BMax18">'RPAinput'!$M$24</definedName>
    <definedName name="BMax19">'RPAinput'!$M$25</definedName>
    <definedName name="BMax2">'RPAinput'!$M$6</definedName>
    <definedName name="BMax20">'RPAinput'!$M$26</definedName>
    <definedName name="BMax21">'RPAinput'!$M$27</definedName>
    <definedName name="BMax22">'RPAinput'!$M$28</definedName>
    <definedName name="BMax23">'RPAinput'!$M$29</definedName>
    <definedName name="BMax24">'RPAinput'!$M$30</definedName>
    <definedName name="BMax25">'RPAinput'!$M$31</definedName>
    <definedName name="BMax26">'RPAinput'!$M$32</definedName>
    <definedName name="BMax27">'RPAinput'!$M$33</definedName>
    <definedName name="BMax28">'RPAinput'!$M$34</definedName>
    <definedName name="BMax29">'RPAinput'!$M$35</definedName>
    <definedName name="BMax3">'RPAinput'!$M$7</definedName>
    <definedName name="BMax30">'RPAinput'!$M$36</definedName>
    <definedName name="BMax31">'RPAinput'!$M$37</definedName>
    <definedName name="BMax32">'RPAinput'!$M$38</definedName>
    <definedName name="BMax33">'RPAinput'!$M$39</definedName>
    <definedName name="BMax34">'RPAinput'!$M$40</definedName>
    <definedName name="BMax35">'RPAinput'!$M$41</definedName>
    <definedName name="BMax36">'RPAinput'!$M$42</definedName>
    <definedName name="BMax37">'RPAinput'!$M$43</definedName>
    <definedName name="BMax38">'RPAinput'!$M$44</definedName>
    <definedName name="BMax39">'RPAinput'!$M$45</definedName>
    <definedName name="BMax4">'RPAinput'!$M$8</definedName>
    <definedName name="BMax40">'RPAinput'!$M$46</definedName>
    <definedName name="BMax41">'RPAinput'!$M$47</definedName>
    <definedName name="BMax42">'RPAinput'!$M$48</definedName>
    <definedName name="BMax43">'RPAinput'!$M$49</definedName>
    <definedName name="BMax44">'RPAinput'!$M$50</definedName>
    <definedName name="BMax45">'RPAinput'!$M$51</definedName>
    <definedName name="BMax46">'RPAinput'!$M$52</definedName>
    <definedName name="BMax47">'RPAinput'!$M$53</definedName>
    <definedName name="BMax48">'RPAinput'!$M$54</definedName>
    <definedName name="BMax49">'RPAinput'!$M$55</definedName>
    <definedName name="BMax5.1">'RPAinput'!$M$9</definedName>
    <definedName name="BMax5.2">'RPAinput'!$M$10</definedName>
    <definedName name="BMax50">'RPAinput'!$M$56</definedName>
    <definedName name="BMax51">'RPAinput'!$M$57</definedName>
    <definedName name="BMax52">'RPAinput'!$M$58</definedName>
    <definedName name="BMax53">'RPAinput'!$M$59</definedName>
    <definedName name="BMax54">'RPAinput'!$M$60</definedName>
    <definedName name="BMax55">'RPAinput'!$M$61</definedName>
    <definedName name="BMax56">'RPAinput'!$M$62</definedName>
    <definedName name="BMax57">'RPAinput'!$M$63</definedName>
    <definedName name="BMax58">'RPAinput'!$M$64</definedName>
    <definedName name="BMax59">'RPAinput'!$M$65</definedName>
    <definedName name="BMax6">'RPAinput'!$M$11</definedName>
    <definedName name="BMax60">'RPAinput'!$M$66</definedName>
    <definedName name="BMax61">'RPAinput'!$M$67</definedName>
    <definedName name="BMax62">'RPAinput'!$M$68</definedName>
    <definedName name="BMax63">'RPAinput'!$M$69</definedName>
    <definedName name="BMax64">'RPAinput'!$M$70</definedName>
    <definedName name="BMax65">'RPAinput'!$M$71</definedName>
    <definedName name="BMax66">'RPAinput'!$M$72</definedName>
    <definedName name="BMax67">'RPAinput'!$M$73</definedName>
    <definedName name="BMax68">'RPAinput'!$M$74</definedName>
    <definedName name="BMax69">'RPAinput'!$M$75</definedName>
    <definedName name="BMax7">'RPAinput'!$M$12</definedName>
    <definedName name="BMax70">'RPAinput'!$M$76</definedName>
    <definedName name="BMax71">'RPAinput'!$M$77</definedName>
    <definedName name="BMax72">'RPAinput'!$M$78</definedName>
    <definedName name="BMax73">'RPAinput'!$M$79</definedName>
    <definedName name="BMax74">'RPAinput'!$M$80</definedName>
    <definedName name="BMax75">'RPAinput'!$M$81</definedName>
    <definedName name="BMax76">'RPAinput'!$M$82</definedName>
    <definedName name="BMax77">'RPAinput'!$M$83</definedName>
    <definedName name="BMax78">'RPAinput'!$M$84</definedName>
    <definedName name="BMax79">'RPAinput'!$M$85</definedName>
    <definedName name="BMax8">'RPAinput'!$M$13</definedName>
    <definedName name="BMax80">'RPAinput'!$M$86</definedName>
    <definedName name="BMax81">'RPAinput'!$M$87</definedName>
    <definedName name="BMax82">'RPAinput'!$M$88</definedName>
    <definedName name="BMax83">'RPAinput'!$M$89</definedName>
    <definedName name="BMax84">'RPAinput'!$M$90</definedName>
    <definedName name="BMax85">'RPAinput'!$M$91</definedName>
    <definedName name="BMax86">'RPAinput'!$M$92</definedName>
    <definedName name="BMax87">'RPAinput'!$M$93</definedName>
    <definedName name="BMax88">'RPAinput'!$M$94</definedName>
    <definedName name="BMax89">'RPAinput'!$M$95</definedName>
    <definedName name="BMax9">'RPAinput'!$M$14</definedName>
    <definedName name="BMax90">'RPAinput'!$M$96</definedName>
    <definedName name="BMax91">'RPAinput'!$M$97</definedName>
    <definedName name="BMax92">'RPAinput'!$M$98</definedName>
    <definedName name="BMax93">'RPAinput'!$M$99</definedName>
    <definedName name="BMax94">'RPAinput'!$M$100</definedName>
    <definedName name="BMax95">'RPAinput'!$M$101</definedName>
    <definedName name="BMax96">'RPAinput'!$M$102</definedName>
    <definedName name="BMax97">'RPAinput'!$M$103</definedName>
    <definedName name="BMax98">'RPAinput'!$M$104</definedName>
    <definedName name="BMax99">'RPAinput'!$M$105</definedName>
    <definedName name="Carcin1">'Criteria'!$C$9</definedName>
    <definedName name="Carcin10">'Criteria'!$C$19</definedName>
    <definedName name="Carcin100">'Criteria'!$C$110</definedName>
    <definedName name="Carcin1001">'Criteria'!$C$132</definedName>
    <definedName name="Carcin1002">'Criteria'!$C$133</definedName>
    <definedName name="Carcin101">'Criteria'!$C$111</definedName>
    <definedName name="Carcin102">'Criteria'!$C$112</definedName>
    <definedName name="Carcin103">'Criteria'!$C$113</definedName>
    <definedName name="Carcin104">'Criteria'!$C$114</definedName>
    <definedName name="Carcin105">'Criteria'!$C$115</definedName>
    <definedName name="Carcin106">'Criteria'!$C$116</definedName>
    <definedName name="Carcin107">'Criteria'!$C$117</definedName>
    <definedName name="Carcin108">'Criteria'!$C$118</definedName>
    <definedName name="Carcin109">'Criteria'!$C$119</definedName>
    <definedName name="Carcin11">'Criteria'!$C$20</definedName>
    <definedName name="Carcin110">'Criteria'!$C$120</definedName>
    <definedName name="Carcin111">'Criteria'!$C$121</definedName>
    <definedName name="Carcin112">'Criteria'!$C$122</definedName>
    <definedName name="Carcin113">'Criteria'!$C$123</definedName>
    <definedName name="Carcin114">'Criteria'!$C$124</definedName>
    <definedName name="Carcin115">'Criteria'!$C$125</definedName>
    <definedName name="Carcin116">'Criteria'!$C$126</definedName>
    <definedName name="Carcin117">'Criteria'!$C$127</definedName>
    <definedName name="Carcin118">'Criteria'!$C$128</definedName>
    <definedName name="Carcin119">'Criteria'!$C$129</definedName>
    <definedName name="Carcin12">'Criteria'!$C$21</definedName>
    <definedName name="Carcin125.5">'Criteria'!$C$130</definedName>
    <definedName name="Carcin126">'Criteria'!$C$131</definedName>
    <definedName name="Carcin13">'Criteria'!$C$22</definedName>
    <definedName name="Carcin14">'Criteria'!$C$23</definedName>
    <definedName name="Carcin15">'Criteria'!$C$24</definedName>
    <definedName name="Carcin16">'Criteria'!$C$26</definedName>
    <definedName name="Carcin17">'Criteria'!$C$27</definedName>
    <definedName name="Carcin18">'Criteria'!$C$28</definedName>
    <definedName name="Carcin19">'Criteria'!$C$29</definedName>
    <definedName name="Carcin2">'Criteria'!$C$10</definedName>
    <definedName name="Carcin20">'Criteria'!$C$30</definedName>
    <definedName name="Carcin21">'Criteria'!$C$31</definedName>
    <definedName name="Carcin22">'Criteria'!$C$32</definedName>
    <definedName name="Carcin23">'Criteria'!$C$33</definedName>
    <definedName name="Carcin24">'Criteria'!$C$34</definedName>
    <definedName name="Carcin25">'Criteria'!$C$35</definedName>
    <definedName name="Carcin26">'Criteria'!$C$36</definedName>
    <definedName name="Carcin27">'Criteria'!$C$37</definedName>
    <definedName name="Carcin28">'Criteria'!$C$38</definedName>
    <definedName name="Carcin29">'Criteria'!$C$39</definedName>
    <definedName name="Carcin3">'Criteria'!$C$11</definedName>
    <definedName name="Carcin30">'Criteria'!$C$40</definedName>
    <definedName name="Carcin31">'Criteria'!$C$41</definedName>
    <definedName name="Carcin32">'Criteria'!$C$42</definedName>
    <definedName name="Carcin33">'Criteria'!$C$43</definedName>
    <definedName name="Carcin34">'Criteria'!$C$44</definedName>
    <definedName name="Carcin35">'Criteria'!$C$45</definedName>
    <definedName name="Carcin36">'Criteria'!$C$46</definedName>
    <definedName name="Carcin37">'Criteria'!$C$47</definedName>
    <definedName name="Carcin38">'Criteria'!$C$48</definedName>
    <definedName name="Carcin39">'Criteria'!$C$49</definedName>
    <definedName name="Carcin4">'Criteria'!$C$12</definedName>
    <definedName name="Carcin40">'Criteria'!$C$50</definedName>
    <definedName name="Carcin41">'Criteria'!$C$51</definedName>
    <definedName name="Carcin42">'Criteria'!$C$52</definedName>
    <definedName name="Carcin43">'Criteria'!$C$53</definedName>
    <definedName name="Carcin44">'Criteria'!$C$54</definedName>
    <definedName name="Carcin45">'Criteria'!$C$55</definedName>
    <definedName name="Carcin46">'Criteria'!$C$56</definedName>
    <definedName name="Carcin47">'Criteria'!$C$57</definedName>
    <definedName name="Carcin48">'Criteria'!$C$58</definedName>
    <definedName name="Carcin49">'Criteria'!$C$59</definedName>
    <definedName name="Carcin5.1">'Criteria'!$C$13</definedName>
    <definedName name="Carcin5.2">'Criteria'!$C$14</definedName>
    <definedName name="Carcin50">'Criteria'!$C$60</definedName>
    <definedName name="Carcin51">'Criteria'!$C$61</definedName>
    <definedName name="Carcin52">'Criteria'!$C$62</definedName>
    <definedName name="Carcin53">'Criteria'!$C$63</definedName>
    <definedName name="Carcin54">'Criteria'!$C$64</definedName>
    <definedName name="Carcin55">'Criteria'!$C$65</definedName>
    <definedName name="Carcin56">'Criteria'!$C$66</definedName>
    <definedName name="Carcin57">'Criteria'!$C$67</definedName>
    <definedName name="Carcin58">'Criteria'!$C$68</definedName>
    <definedName name="Carcin59">'Criteria'!$C$69</definedName>
    <definedName name="Carcin6">'Criteria'!$C$15</definedName>
    <definedName name="Carcin60">'Criteria'!$C$70</definedName>
    <definedName name="Carcin61">'Criteria'!$C$71</definedName>
    <definedName name="Carcin62">'Criteria'!$C$72</definedName>
    <definedName name="Carcin63">'Criteria'!$C$73</definedName>
    <definedName name="Carcin64">'Criteria'!$C$74</definedName>
    <definedName name="Carcin65">'Criteria'!$C$75</definedName>
    <definedName name="Carcin66">'Criteria'!$C$76</definedName>
    <definedName name="Carcin67">'Criteria'!$C$77</definedName>
    <definedName name="Carcin68">'Criteria'!$C$78</definedName>
    <definedName name="Carcin69">'Criteria'!$C$79</definedName>
    <definedName name="Carcin7">'Criteria'!$C$16</definedName>
    <definedName name="Carcin70">'Criteria'!$C$80</definedName>
    <definedName name="Carcin71">'Criteria'!$C$81</definedName>
    <definedName name="Carcin72">'Criteria'!$C$82</definedName>
    <definedName name="Carcin73">'Criteria'!$C$83</definedName>
    <definedName name="Carcin74">'Criteria'!$C$84</definedName>
    <definedName name="Carcin75">'Criteria'!$C$85</definedName>
    <definedName name="Carcin76">'Criteria'!$C$86</definedName>
    <definedName name="Carcin77">'Criteria'!$C$87</definedName>
    <definedName name="Carcin78">'Criteria'!$C$88</definedName>
    <definedName name="Carcin79">'Criteria'!$C$89</definedName>
    <definedName name="Carcin8">'Criteria'!$C$17</definedName>
    <definedName name="Carcin80">'Criteria'!$C$90</definedName>
    <definedName name="Carcin81">'Criteria'!$C$91</definedName>
    <definedName name="Carcin82">'Criteria'!$C$92</definedName>
    <definedName name="Carcin83">'Criteria'!$C$93</definedName>
    <definedName name="Carcin84">'Criteria'!$C$94</definedName>
    <definedName name="Carcin85">'Criteria'!$C$95</definedName>
    <definedName name="Carcin86">'Criteria'!$C$96</definedName>
    <definedName name="Carcin87">'Criteria'!$C$97</definedName>
    <definedName name="Carcin88">'Criteria'!$C$98</definedName>
    <definedName name="Carcin89">'Criteria'!$C$99</definedName>
    <definedName name="Carcin9">'Criteria'!$C$18</definedName>
    <definedName name="Carcin90">'Criteria'!$C$100</definedName>
    <definedName name="Carcin91">'Criteria'!$C$101</definedName>
    <definedName name="Carcin92">'Criteria'!$C$102</definedName>
    <definedName name="Carcin93">'Criteria'!$C$103</definedName>
    <definedName name="Carcin94">'Criteria'!$C$104</definedName>
    <definedName name="Carcin95">'Criteria'!$C$105</definedName>
    <definedName name="Carcin96">'Criteria'!$C$106</definedName>
    <definedName name="Carcin97">'Criteria'!$C$107</definedName>
    <definedName name="Carcin98">'Criteria'!$C$108</definedName>
    <definedName name="Carcin99">'Criteria'!$C$109</definedName>
    <definedName name="colCriteria_Bio">'Criteria'!$C$7</definedName>
    <definedName name="colCriteria_Carcin">'Criteria'!$D$7</definedName>
    <definedName name="colCriteria_CTR">'Criteria'!$A$7</definedName>
    <definedName name="colCriteria_PolName">'Criteria'!$B$7</definedName>
    <definedName name="colCriteria_WQOAcute">'Criteria'!$G$7</definedName>
    <definedName name="colCriteria_WQOBasis">'Criteria'!$F$7</definedName>
    <definedName name="colCriteria_WQOChron">'Criteria'!$H$7</definedName>
    <definedName name="colCriteria_WQOHH">'Criteria'!$I$7</definedName>
    <definedName name="colCriteria_WQOMin">'Criteria'!$E$5</definedName>
    <definedName name="colEffData_Comment">'EffData'!#REF!</definedName>
    <definedName name="colEffData_CountErr">'EffData'!#REF!</definedName>
    <definedName name="colEffData_CTR">'EffData'!#REF!</definedName>
    <definedName name="colEffData_Date">'EffData'!#REF!</definedName>
    <definedName name="colEffData_MDL">'EffData'!#REF!</definedName>
    <definedName name="colEffData_ML">'EffData'!#REF!</definedName>
    <definedName name="colEffData_Permit">'EffData'!#REF!</definedName>
    <definedName name="colEffData_PolName">'EffData'!#REF!</definedName>
    <definedName name="colEffData_Qual">'EffData'!#REF!</definedName>
    <definedName name="colEffData_RDL">'EffData'!#REF!</definedName>
    <definedName name="colEffData_Stn">'EffData'!#REF!</definedName>
    <definedName name="colEffData_Unit">'EffData'!#REF!</definedName>
    <definedName name="colEffData_Value">'EffData'!#REF!</definedName>
    <definedName name="colRPA_MEC">'Appndix-F2(RPA)'!$I$3</definedName>
    <definedName name="colRPA_PolName">'Appndix-F2(RPA)'!$B$2</definedName>
    <definedName name="colRPA_RPAResult">'Appndix-F2(RPA)'!$S$3</definedName>
    <definedName name="colRPAinput_BAllND">'RPAinput'!$J$3</definedName>
    <definedName name="colRPAinput_BAvg">'RPAinput'!$N$4</definedName>
    <definedName name="colRPAinput_BData">'RPAinput'!$I$3</definedName>
    <definedName name="colRPAinput_BMax">'RPAinput'!$M$4</definedName>
    <definedName name="colRPAinput_BMaxDetect">'RPAinput'!$L$4</definedName>
    <definedName name="colRPAinput_BMinDL">'RPAinput'!$K$3</definedName>
    <definedName name="colRPAinput_EffAllND">'RPAinput'!$D$3</definedName>
    <definedName name="colRPAinput_EffData">'RPAinput'!$C$3</definedName>
    <definedName name="colRPAinput_EffMaxDetect">'RPAinput'!$F$3</definedName>
    <definedName name="colRPAinput_EffMinDL">'RPAinput'!$E$3</definedName>
    <definedName name="colRPAinput_OtherRPAInfo">'RPAinput'!$Q$4</definedName>
    <definedName name="colRPAinput_PolName">'RPAinput'!$B$3</definedName>
    <definedName name="CTR1">'Criteria'!$A$9</definedName>
    <definedName name="CTR10">'Criteria'!$A$19</definedName>
    <definedName name="CTR100">'Criteria'!$A$110</definedName>
    <definedName name="CTR1001">'Criteria'!$A$132</definedName>
    <definedName name="CTR1002">'Criteria'!$A$133</definedName>
    <definedName name="CTR101">'Criteria'!$A$111</definedName>
    <definedName name="CTR102">'Criteria'!$A$112</definedName>
    <definedName name="CTR103">'Criteria'!$A$113</definedName>
    <definedName name="CTR104">'Criteria'!$A$114</definedName>
    <definedName name="CTR105">'Criteria'!$A$115</definedName>
    <definedName name="CTR106">'Criteria'!$A$116</definedName>
    <definedName name="CTR107">'Criteria'!$A$117</definedName>
    <definedName name="CTR108">'Criteria'!$A$118</definedName>
    <definedName name="CTR109">'Criteria'!$A$119</definedName>
    <definedName name="CTR11">'Criteria'!$A$20</definedName>
    <definedName name="CTR110">'Criteria'!$A$120</definedName>
    <definedName name="CTR111">'Criteria'!$A$121</definedName>
    <definedName name="CTR112">'Criteria'!$A$122</definedName>
    <definedName name="CTR113">'Criteria'!$A$123</definedName>
    <definedName name="CTR114">'Criteria'!$A$124</definedName>
    <definedName name="CTR115">'Criteria'!$A$125</definedName>
    <definedName name="CTR116">'Criteria'!$A$126</definedName>
    <definedName name="CTR117">'Criteria'!$A$127</definedName>
    <definedName name="CTR118">'Criteria'!$A$128</definedName>
    <definedName name="CTR119">'Criteria'!$A$129</definedName>
    <definedName name="CTR12">'Criteria'!$A$21</definedName>
    <definedName name="CTR125.5">'Criteria'!$A$130</definedName>
    <definedName name="CTR126">'Criteria'!$A$131</definedName>
    <definedName name="CTR13">'Criteria'!$A$22</definedName>
    <definedName name="CTR14">'Criteria'!$A$23</definedName>
    <definedName name="CTR15">'Criteria'!$A$24</definedName>
    <definedName name="CTR16">'Criteria'!$A$25</definedName>
    <definedName name="CTR17">'Criteria'!$A$27</definedName>
    <definedName name="CTR18">'Criteria'!$A$28</definedName>
    <definedName name="CTR19">'Criteria'!$A$29</definedName>
    <definedName name="CTR2">'Criteria'!$A$10</definedName>
    <definedName name="CTR20">'Criteria'!$A$30</definedName>
    <definedName name="CTR21">'Criteria'!$A$31</definedName>
    <definedName name="CTR22">'Criteria'!$A$32</definedName>
    <definedName name="CTR23">'Criteria'!$A$33</definedName>
    <definedName name="CTR24">'Criteria'!$A$34</definedName>
    <definedName name="CTR25">'Criteria'!$A$35</definedName>
    <definedName name="CTR26">'Criteria'!$A$36</definedName>
    <definedName name="CTR27">'Criteria'!$A$37</definedName>
    <definedName name="CTR28">'Criteria'!$A$38</definedName>
    <definedName name="CTR29">'Criteria'!$A$39</definedName>
    <definedName name="CTR3">'Criteria'!$A$11</definedName>
    <definedName name="CTR30">'Criteria'!$A$40</definedName>
    <definedName name="CTR31">'Criteria'!$A$41</definedName>
    <definedName name="CTR32">'Criteria'!$A$42</definedName>
    <definedName name="CTR33">'Criteria'!$A$43</definedName>
    <definedName name="CTR34">'Criteria'!$A$44</definedName>
    <definedName name="CTR35">'Criteria'!$A$45</definedName>
    <definedName name="CTR36">'Criteria'!$A$46</definedName>
    <definedName name="CTR37">'Criteria'!$A$47</definedName>
    <definedName name="CTR38">'Criteria'!$A$48</definedName>
    <definedName name="CTR39">'Criteria'!$A$49</definedName>
    <definedName name="CTR4">'Criteria'!$A$12</definedName>
    <definedName name="CTR40">'Criteria'!$A$50</definedName>
    <definedName name="CTR41">'Criteria'!$A$51</definedName>
    <definedName name="CTR42">'Criteria'!$A$52</definedName>
    <definedName name="CTR43">'Criteria'!$A$53</definedName>
    <definedName name="CTR44">'Criteria'!$A$54</definedName>
    <definedName name="CTR45">'Criteria'!$A$55</definedName>
    <definedName name="CTR46">'Criteria'!$A$56</definedName>
    <definedName name="CTR47">'Criteria'!$A$57</definedName>
    <definedName name="CTR48">'Criteria'!$A$58</definedName>
    <definedName name="CTR49">'Criteria'!$A$59</definedName>
    <definedName name="CTR5.1">'Criteria'!$A$13</definedName>
    <definedName name="CTR5.2">'Criteria'!$A$14</definedName>
    <definedName name="CTR50">'Criteria'!$A$60</definedName>
    <definedName name="CTR51">'Criteria'!$A$61</definedName>
    <definedName name="CTR52">'Criteria'!$A$62</definedName>
    <definedName name="CTR53">'Criteria'!$A$63</definedName>
    <definedName name="CTR54">'Criteria'!$A$64</definedName>
    <definedName name="CTR55">'Criteria'!$A$65</definedName>
    <definedName name="CTR56">'Criteria'!$A$66</definedName>
    <definedName name="CTR57">'Criteria'!$A$67</definedName>
    <definedName name="CTR58">'Criteria'!$A$68</definedName>
    <definedName name="CTR59">'Criteria'!$A$69</definedName>
    <definedName name="CTR6">'Criteria'!$A$15</definedName>
    <definedName name="CTR60">'Criteria'!$A$70</definedName>
    <definedName name="CTR61">'Criteria'!$A$71</definedName>
    <definedName name="CTR62">'Criteria'!$A$72</definedName>
    <definedName name="CTR63">'Criteria'!$A$73</definedName>
    <definedName name="CTR64">'Criteria'!$A$74</definedName>
    <definedName name="CTR65">'Criteria'!$A$75</definedName>
    <definedName name="CTR66">'Criteria'!$A$76</definedName>
    <definedName name="CTR67">'Criteria'!$A$77</definedName>
    <definedName name="CTR68">'Criteria'!$A$78</definedName>
    <definedName name="CTR69">'Criteria'!$A$79</definedName>
    <definedName name="CTR7">'Criteria'!$A$16</definedName>
    <definedName name="CTR70">'Criteria'!$A$80</definedName>
    <definedName name="CTR71">'Criteria'!$A$81</definedName>
    <definedName name="CTR72">'Criteria'!$A$82</definedName>
    <definedName name="CTR73">'Criteria'!$A$83</definedName>
    <definedName name="CTR74">'Criteria'!$A$84</definedName>
    <definedName name="CTR75">'Criteria'!$A$85</definedName>
    <definedName name="CTR76">'Criteria'!$A$86</definedName>
    <definedName name="CTR77">'Criteria'!$A$87</definedName>
    <definedName name="CTR78">'Criteria'!$A$88</definedName>
    <definedName name="CTR79">'Criteria'!$A$89</definedName>
    <definedName name="CTR8">'Criteria'!$A$17</definedName>
    <definedName name="CTR80">'Criteria'!$A$90</definedName>
    <definedName name="CTR81">'Criteria'!$A$91</definedName>
    <definedName name="CTR82">'Criteria'!$A$92</definedName>
    <definedName name="CTR83">'Criteria'!$A$93</definedName>
    <definedName name="CTR84">'Criteria'!$A$94</definedName>
    <definedName name="CTR85">'Criteria'!$A$95</definedName>
    <definedName name="CTR86">'Criteria'!$A$96</definedName>
    <definedName name="CTR87">'Criteria'!$A$97</definedName>
    <definedName name="CTR88">'Criteria'!$A$98</definedName>
    <definedName name="CTR89">'Criteria'!$A$99</definedName>
    <definedName name="CTR9">'Criteria'!$A$18</definedName>
    <definedName name="CTR90">'Criteria'!$A$100</definedName>
    <definedName name="CTR91">'Criteria'!$A$101</definedName>
    <definedName name="CTR92">'Criteria'!$A$102</definedName>
    <definedName name="CTR93">'Criteria'!$A$103</definedName>
    <definedName name="CTR94">'Criteria'!$A$104</definedName>
    <definedName name="CTR95">'Criteria'!$A$105</definedName>
    <definedName name="CTR96">'Criteria'!$A$106</definedName>
    <definedName name="CTR97">'Criteria'!$A$107</definedName>
    <definedName name="CTR98">'Criteria'!$A$108</definedName>
    <definedName name="CTR99">'Criteria'!$A$109</definedName>
    <definedName name="CV_Avg13">'CV'!$O$30</definedName>
    <definedName name="CV_Avg14">'CV'!$O$50</definedName>
    <definedName name="CV_Avg16">'CV'!$O$96</definedName>
    <definedName name="CV_Avg8">'CV'!$O$2</definedName>
    <definedName name="CV_Count13">'CV'!$K$30</definedName>
    <definedName name="CV_Count14">'CV'!$K$50</definedName>
    <definedName name="CV_Count16">'CV'!$K$96</definedName>
    <definedName name="CV_Count8">'CV'!$K$2</definedName>
    <definedName name="CV_NotEnoughData13">'CV'!$N$30</definedName>
    <definedName name="CV_NotEnoughData14">'CV'!$N$50</definedName>
    <definedName name="CV_NotEnoughData16">'CV'!$N$96</definedName>
    <definedName name="CV_NotEnoughData8">'CV'!$N$2</definedName>
    <definedName name="CV_PercentND13">'CV'!$M$30</definedName>
    <definedName name="CV_PercentND14">'CV'!$M$50</definedName>
    <definedName name="CV_PercentND16">'CV'!$M$96</definedName>
    <definedName name="CV_PercentND8">'CV'!$M$2</definedName>
    <definedName name="CV_StDev13">'CV'!$P$30</definedName>
    <definedName name="CV_StDev14">'CV'!$P$50</definedName>
    <definedName name="CV_StDev16">'CV'!$P$96</definedName>
    <definedName name="CV_StDev8">'CV'!$P$2</definedName>
    <definedName name="MEC1">'Appndix-F2(RPA)'!$I$4</definedName>
    <definedName name="MEC10">'Appndix-F2(RPA)'!$I$14</definedName>
    <definedName name="MEC100">'Appndix-F2(RPA)'!$I$104</definedName>
    <definedName name="MEC1001">'Appndix-F2(RPA)'!$I$126</definedName>
    <definedName name="MEC1002">'Appndix-F2(RPA)'!$I$127</definedName>
    <definedName name="MEC101">'Appndix-F2(RPA)'!$I$105</definedName>
    <definedName name="MEC102">'Appndix-F2(RPA)'!$I$106</definedName>
    <definedName name="MEC103">'Appndix-F2(RPA)'!$I$107</definedName>
    <definedName name="MEC104">'Appndix-F2(RPA)'!$I$108</definedName>
    <definedName name="MEC105">'Appndix-F2(RPA)'!$I$109</definedName>
    <definedName name="MEC106">'Appndix-F2(RPA)'!$I$110</definedName>
    <definedName name="MEC107">'Appndix-F2(RPA)'!$I$111</definedName>
    <definedName name="MEC108">'Appndix-F2(RPA)'!$I$112</definedName>
    <definedName name="MEC109">'Appndix-F2(RPA)'!$I$113</definedName>
    <definedName name="MEC11">'Appndix-F2(RPA)'!$I$15</definedName>
    <definedName name="MEC110">'Appndix-F2(RPA)'!$I$114</definedName>
    <definedName name="MEC111">'Appndix-F2(RPA)'!$I$115</definedName>
    <definedName name="MEC112">'Appndix-F2(RPA)'!$I$116</definedName>
    <definedName name="MEC113">'Appndix-F2(RPA)'!$I$117</definedName>
    <definedName name="MEC114">'Appndix-F2(RPA)'!$I$118</definedName>
    <definedName name="MEC115">'Appndix-F2(RPA)'!$I$119</definedName>
    <definedName name="MEC116">'Appndix-F2(RPA)'!$I$120</definedName>
    <definedName name="MEC117">'Appndix-F2(RPA)'!$I$121</definedName>
    <definedName name="MEC118">'Appndix-F2(RPA)'!$I$122</definedName>
    <definedName name="MEC119">'Appndix-F2(RPA)'!$I$123</definedName>
    <definedName name="MEC12">'Appndix-F2(RPA)'!$I$16</definedName>
    <definedName name="MEC125.5">'Appndix-F2(RPA)'!$I$124</definedName>
    <definedName name="MEC126">'Appndix-F2(RPA)'!$I$125</definedName>
    <definedName name="MEC13">'Appndix-F2(RPA)'!$I$17</definedName>
    <definedName name="MEC14">'Appndix-F2(RPA)'!$I$18</definedName>
    <definedName name="MEC15">'Appndix-F2(RPA)'!$I$19</definedName>
    <definedName name="MEC16">'Appndix-F2(RPA)'!$I$20</definedName>
    <definedName name="MEC17">'Appndix-F2(RPA)'!$I$21</definedName>
    <definedName name="MEC18">'Appndix-F2(RPA)'!$I$22</definedName>
    <definedName name="MEC19">'Appndix-F2(RPA)'!$I$23</definedName>
    <definedName name="MEC2">'Appndix-F2(RPA)'!$I$5</definedName>
    <definedName name="MEC20">'Appndix-F2(RPA)'!$I$24</definedName>
    <definedName name="MEC21">'Appndix-F2(RPA)'!$I$25</definedName>
    <definedName name="MEC22">'Appndix-F2(RPA)'!$I$26</definedName>
    <definedName name="MEC23">'Appndix-F2(RPA)'!$I$27</definedName>
    <definedName name="MEC24">'Appndix-F2(RPA)'!$I$28</definedName>
    <definedName name="MEC25">'Appndix-F2(RPA)'!$I$29</definedName>
    <definedName name="MEC26">'Appndix-F2(RPA)'!$I$30</definedName>
    <definedName name="MEC27">'Appndix-F2(RPA)'!$I$31</definedName>
    <definedName name="MEC28">'Appndix-F2(RPA)'!$I$32</definedName>
    <definedName name="MEC29">'Appndix-F2(RPA)'!$I$33</definedName>
    <definedName name="MEC3">'Appndix-F2(RPA)'!$I$6</definedName>
    <definedName name="MEC30">'Appndix-F2(RPA)'!$I$34</definedName>
    <definedName name="MEC31">'Appndix-F2(RPA)'!$I$35</definedName>
    <definedName name="MEC32">'Appndix-F2(RPA)'!$I$36</definedName>
    <definedName name="MEC33">'Appndix-F2(RPA)'!$I$37</definedName>
    <definedName name="MEC34">'Appndix-F2(RPA)'!$I$38</definedName>
    <definedName name="MEC35">'Appndix-F2(RPA)'!$I$39</definedName>
    <definedName name="MEC36">'Appndix-F2(RPA)'!$I$40</definedName>
    <definedName name="MEC37">'Appndix-F2(RPA)'!$I$41</definedName>
    <definedName name="MEC38">'Appndix-F2(RPA)'!$I$42</definedName>
    <definedName name="MEC39">'Appndix-F2(RPA)'!$I$43</definedName>
    <definedName name="MEC4">'Appndix-F2(RPA)'!$I$7</definedName>
    <definedName name="MEC40">'Appndix-F2(RPA)'!$I$44</definedName>
    <definedName name="MEC41">'Appndix-F2(RPA)'!$I$45</definedName>
    <definedName name="MEC42">'Appndix-F2(RPA)'!$I$46</definedName>
    <definedName name="MEC43">'Appndix-F2(RPA)'!$I$47</definedName>
    <definedName name="MEC44">'Appndix-F2(RPA)'!$I$48</definedName>
    <definedName name="MEC45">'Appndix-F2(RPA)'!$I$49</definedName>
    <definedName name="MEC46">'Appndix-F2(RPA)'!$I$50</definedName>
    <definedName name="MEC47">'Appndix-F2(RPA)'!$I$51</definedName>
    <definedName name="MEC48">'Appndix-F2(RPA)'!$I$52</definedName>
    <definedName name="MEC49">'Appndix-F2(RPA)'!$I$53</definedName>
    <definedName name="MEC5.1">'Appndix-F2(RPA)'!$I$8</definedName>
    <definedName name="MEC5.2">'Appndix-F2(RPA)'!$I$9</definedName>
    <definedName name="MEC50">'Appndix-F2(RPA)'!$I$54</definedName>
    <definedName name="MEC51">'Appndix-F2(RPA)'!$I$55</definedName>
    <definedName name="MEC52">'Appndix-F2(RPA)'!$I$56</definedName>
    <definedName name="MEC53">'Appndix-F2(RPA)'!$I$57</definedName>
    <definedName name="MEC54">'Appndix-F2(RPA)'!$I$58</definedName>
    <definedName name="MEC55">'Appndix-F2(RPA)'!$I$59</definedName>
    <definedName name="MEC56">'Appndix-F2(RPA)'!$I$60</definedName>
    <definedName name="MEC57">'Appndix-F2(RPA)'!$I$61</definedName>
    <definedName name="MEC58">'Appndix-F2(RPA)'!$I$62</definedName>
    <definedName name="MEC59">'Appndix-F2(RPA)'!$I$63</definedName>
    <definedName name="MEC6">'Appndix-F2(RPA)'!$I$10</definedName>
    <definedName name="MEC60">'Appndix-F2(RPA)'!$I$64</definedName>
    <definedName name="MEC61">'Appndix-F2(RPA)'!$I$65</definedName>
    <definedName name="MEC62">'Appndix-F2(RPA)'!$I$66</definedName>
    <definedName name="MEC63">'Appndix-F2(RPA)'!$I$67</definedName>
    <definedName name="MEC64">'Appndix-F2(RPA)'!$I$68</definedName>
    <definedName name="MEC65">'Appndix-F2(RPA)'!$I$69</definedName>
    <definedName name="MEC66">'Appndix-F2(RPA)'!$I$70</definedName>
    <definedName name="MEC67">'Appndix-F2(RPA)'!$I$71</definedName>
    <definedName name="MEC68">'Appndix-F2(RPA)'!$I$72</definedName>
    <definedName name="MEC69">'Appndix-F2(RPA)'!$I$73</definedName>
    <definedName name="MEC7">'Appndix-F2(RPA)'!$I$11</definedName>
    <definedName name="MEC70">'Appndix-F2(RPA)'!$I$74</definedName>
    <definedName name="MEC71">'Appndix-F2(RPA)'!$I$75</definedName>
    <definedName name="MEC72">'Appndix-F2(RPA)'!$I$76</definedName>
    <definedName name="MEC73">'Appndix-F2(RPA)'!$I$77</definedName>
    <definedName name="MEC74">'Appndix-F2(RPA)'!$I$78</definedName>
    <definedName name="MEC75">'Appndix-F2(RPA)'!$I$79</definedName>
    <definedName name="MEC76">'Appndix-F2(RPA)'!$I$80</definedName>
    <definedName name="MEC77">'Appndix-F2(RPA)'!$I$81</definedName>
    <definedName name="MEC78">'Appndix-F2(RPA)'!$I$82</definedName>
    <definedName name="MEC79">'Appndix-F2(RPA)'!$I$83</definedName>
    <definedName name="MEC8">'Appndix-F2(RPA)'!$I$12</definedName>
    <definedName name="MEC80">'Appndix-F2(RPA)'!$I$84</definedName>
    <definedName name="MEC81">'Appndix-F2(RPA)'!$I$85</definedName>
    <definedName name="MEC82">'Appndix-F2(RPA)'!$I$86</definedName>
    <definedName name="MEC83">'Appndix-F2(RPA)'!$I$87</definedName>
    <definedName name="MEC84">'Appndix-F2(RPA)'!$I$88</definedName>
    <definedName name="MEC85">'Appndix-F2(RPA)'!$I$89</definedName>
    <definedName name="MEC86">'Appndix-F2(RPA)'!$I$90</definedName>
    <definedName name="MEC87">'Appndix-F2(RPA)'!$I$91</definedName>
    <definedName name="MEC88">'Appndix-F2(RPA)'!$I$92</definedName>
    <definedName name="MEC89">'Appndix-F2(RPA)'!$I$93</definedName>
    <definedName name="MEC9">'Appndix-F2(RPA)'!$I$13</definedName>
    <definedName name="MEC90">'Appndix-F2(RPA)'!$I$94</definedName>
    <definedName name="MEC91">'Appndix-F2(RPA)'!$I$95</definedName>
    <definedName name="MEC92">'Appndix-F2(RPA)'!$I$96</definedName>
    <definedName name="MEC93">'Appndix-F2(RPA)'!$I$97</definedName>
    <definedName name="MEC94">'Appndix-F2(RPA)'!$I$98</definedName>
    <definedName name="MEC95">'Appndix-F2(RPA)'!$I$99</definedName>
    <definedName name="MEC96">'Appndix-F2(RPA)'!$I$100</definedName>
    <definedName name="MEC97">'Appndix-F2(RPA)'!$I$101</definedName>
    <definedName name="MEC98">'Appndix-F2(RPA)'!$I$102</definedName>
    <definedName name="MEC99">'Appndix-F2(RPA)'!$I$103</definedName>
    <definedName name="PolName1">'Criteria'!$B$9</definedName>
    <definedName name="PolName10">'Criteria'!$B$19</definedName>
    <definedName name="PolName100">'Criteria'!$B$110</definedName>
    <definedName name="PolName1001">'Criteria'!$B$132</definedName>
    <definedName name="PolName1002">'Criteria'!$B$133</definedName>
    <definedName name="PolName101">'Criteria'!$B$111</definedName>
    <definedName name="PolName102">'Criteria'!$B$112</definedName>
    <definedName name="PolName103">'Criteria'!$B$113</definedName>
    <definedName name="PolName104">'Criteria'!$B$114</definedName>
    <definedName name="PolName105">'Criteria'!$B$115</definedName>
    <definedName name="PolName106">'Criteria'!$B$116</definedName>
    <definedName name="PolName107">'Criteria'!$B$117</definedName>
    <definedName name="PolName108">'Criteria'!$B$118</definedName>
    <definedName name="PolName109">'Criteria'!$B$119</definedName>
    <definedName name="PolName11">'Criteria'!$B$20</definedName>
    <definedName name="PolName110">'Criteria'!$B$120</definedName>
    <definedName name="PolName111">'Criteria'!$B$121</definedName>
    <definedName name="PolName112">'Criteria'!$B$122</definedName>
    <definedName name="PolName113">'Criteria'!$B$123</definedName>
    <definedName name="PolName114">'Criteria'!$B$124</definedName>
    <definedName name="PolName115">'Criteria'!$B$125</definedName>
    <definedName name="PolName116">'Criteria'!$B$126</definedName>
    <definedName name="PolName117">'Criteria'!$B$127</definedName>
    <definedName name="PolName118">'Criteria'!$B$128</definedName>
    <definedName name="PolName119">'Criteria'!$B$129</definedName>
    <definedName name="PolName12">'Criteria'!$B$21</definedName>
    <definedName name="PolName125.5">'Criteria'!$B$130</definedName>
    <definedName name="PolName126">'Criteria'!$B$131</definedName>
    <definedName name="PolName13">'Criteria'!$B$22</definedName>
    <definedName name="PolName14">'Criteria'!$B$23</definedName>
    <definedName name="PolName15">'Criteria'!$B$24</definedName>
    <definedName name="PolName16">'Criteria'!$B$26</definedName>
    <definedName name="PolName17">'Criteria'!$B$27</definedName>
    <definedName name="PolName18">'Criteria'!$B$28</definedName>
    <definedName name="PolName19">'Criteria'!$B$29</definedName>
    <definedName name="PolName2">'Criteria'!$B$10</definedName>
    <definedName name="PolName20">'Criteria'!$B$30</definedName>
    <definedName name="PolName21">'Criteria'!$B$31</definedName>
    <definedName name="PolName22">'Criteria'!$B$32</definedName>
    <definedName name="PolName23">'Criteria'!$B$33</definedName>
    <definedName name="PolName24">'Criteria'!$B$34</definedName>
    <definedName name="PolName25">'Criteria'!$B$35</definedName>
    <definedName name="PolName26">'Criteria'!$B$36</definedName>
    <definedName name="PolName27">'Criteria'!$B$37</definedName>
    <definedName name="PolName28">'Criteria'!$B$38</definedName>
    <definedName name="PolName29">'Criteria'!$B$39</definedName>
    <definedName name="PolName3">'Criteria'!$B$11</definedName>
    <definedName name="PolName30">'Criteria'!$B$40</definedName>
    <definedName name="PolName31">'Criteria'!$B$41</definedName>
    <definedName name="PolName32">'Criteria'!$B$42</definedName>
    <definedName name="PolName33">'Criteria'!$B$43</definedName>
    <definedName name="PolName34">'Criteria'!$B$44</definedName>
    <definedName name="PolName35">'Criteria'!$B$45</definedName>
    <definedName name="PolName36">'Criteria'!$B$46</definedName>
    <definedName name="PolName37">'Criteria'!$B$47</definedName>
    <definedName name="PolName38">'Criteria'!$B$48</definedName>
    <definedName name="PolName39">'Criteria'!$B$49</definedName>
    <definedName name="PolName4">'Criteria'!$B$12</definedName>
    <definedName name="PolName40">'Criteria'!$B$50</definedName>
    <definedName name="PolName41">'Criteria'!$B$51</definedName>
    <definedName name="PolName42">'Criteria'!$B$52</definedName>
    <definedName name="PolName43">'Criteria'!$B$53</definedName>
    <definedName name="PolName44">'Criteria'!$B$54</definedName>
    <definedName name="PolName45">'Criteria'!$B$55</definedName>
    <definedName name="PolName46">'Criteria'!$B$56</definedName>
    <definedName name="PolName47">'Criteria'!$B$57</definedName>
    <definedName name="PolName48">'Criteria'!$B$58</definedName>
    <definedName name="PolName49">'Criteria'!$B$59</definedName>
    <definedName name="PolName5.1">'Criteria'!$B$13</definedName>
    <definedName name="PolName5.2">'Criteria'!$B$14</definedName>
    <definedName name="PolName50">'Criteria'!$B$60</definedName>
    <definedName name="PolName51">'Criteria'!$B$61</definedName>
    <definedName name="PolName52">'Criteria'!$B$62</definedName>
    <definedName name="PolName53">'Criteria'!$B$63</definedName>
    <definedName name="PolName54">'Criteria'!$B$64</definedName>
    <definedName name="PolName55">'Criteria'!$B$65</definedName>
    <definedName name="PolName56">'Criteria'!$B$66</definedName>
    <definedName name="PolName57">'Criteria'!$B$67</definedName>
    <definedName name="PolName58">'Criteria'!$B$68</definedName>
    <definedName name="PolName59">'Criteria'!$B$69</definedName>
    <definedName name="PolName6">'Criteria'!$B$15</definedName>
    <definedName name="PolName60">'Criteria'!$B$70</definedName>
    <definedName name="PolName61">'Criteria'!$B$71</definedName>
    <definedName name="PolName62">'Criteria'!$B$72</definedName>
    <definedName name="PolName63">'Criteria'!$B$73</definedName>
    <definedName name="PolName64">'Criteria'!$B$74</definedName>
    <definedName name="PolName65">'Criteria'!$B$75</definedName>
    <definedName name="PolName66">'Criteria'!$B$76</definedName>
    <definedName name="PolName67">'Criteria'!$B$77</definedName>
    <definedName name="PolName68">'Criteria'!$B$78</definedName>
    <definedName name="PolName69">'Criteria'!$B$79</definedName>
    <definedName name="PolName7">'Criteria'!$B$16</definedName>
    <definedName name="PolName70">'Criteria'!$B$80</definedName>
    <definedName name="PolName71">'Criteria'!$B$81</definedName>
    <definedName name="PolName72">'Criteria'!$B$82</definedName>
    <definedName name="PolName73">'Criteria'!$B$83</definedName>
    <definedName name="PolName74">'Criteria'!$B$84</definedName>
    <definedName name="PolName75">'Criteria'!$B$85</definedName>
    <definedName name="PolName76">'Criteria'!$B$86</definedName>
    <definedName name="PolName77">'Criteria'!$B$87</definedName>
    <definedName name="PolName78">'Criteria'!$B$88</definedName>
    <definedName name="PolName79">'Criteria'!$B$89</definedName>
    <definedName name="PolName8">'Criteria'!$B$17</definedName>
    <definedName name="PolName80">'Criteria'!$B$90</definedName>
    <definedName name="PolName81">'Criteria'!$B$91</definedName>
    <definedName name="PolName82">'Criteria'!$B$92</definedName>
    <definedName name="PolName83">'Criteria'!$B$93</definedName>
    <definedName name="PolName84">'Criteria'!$B$94</definedName>
    <definedName name="PolName85">'Criteria'!$B$95</definedName>
    <definedName name="PolName86">'Criteria'!$B$96</definedName>
    <definedName name="PolName87">'Criteria'!$B$97</definedName>
    <definedName name="PolName88">'Criteria'!$B$98</definedName>
    <definedName name="PolName89">'Criteria'!$B$99</definedName>
    <definedName name="PolName9">'Criteria'!$B$18</definedName>
    <definedName name="PolName90">'Criteria'!$B$100</definedName>
    <definedName name="PolName91">'Criteria'!$B$101</definedName>
    <definedName name="PolName92">'Criteria'!$B$102</definedName>
    <definedName name="PolName93">'Criteria'!$B$103</definedName>
    <definedName name="PolName94">'Criteria'!$B$104</definedName>
    <definedName name="PolName95">'Criteria'!$B$105</definedName>
    <definedName name="PolName96">'Criteria'!$B$106</definedName>
    <definedName name="PolName97">'Criteria'!$B$107</definedName>
    <definedName name="PolName98">'Criteria'!$B$108</definedName>
    <definedName name="PolName99">'Criteria'!$B$109</definedName>
    <definedName name="_xlnm.Print_Area" localSheetId="4">'Appndix-F2(RPA)'!$A$1:$T$133</definedName>
    <definedName name="_xlnm.Print_Area" localSheetId="2">'Criteria'!$A$1:$AF$138</definedName>
    <definedName name="_xlnm.Print_Area" localSheetId="8">'CV'!$A$1:$Q$100</definedName>
    <definedName name="_xlnm.Print_Area" localSheetId="6">'EffData'!$A$1:$L$1357</definedName>
    <definedName name="_xlnm.Print_Area" localSheetId="9">'fs_RPA'!$A$1:$H$125</definedName>
    <definedName name="_xlnm.Print_Area" localSheetId="0">'Input'!$A$2:$C$19</definedName>
    <definedName name="_xlnm.Print_Area" localSheetId="3">'RPAinput'!$A$2:$R$133</definedName>
    <definedName name="_xlnm.Print_Area" localSheetId="7">'SumChem'!$A$1:$S$35</definedName>
    <definedName name="_xlnm.Print_Titles" localSheetId="4">'Appndix-F2(RPA)'!$1:$3</definedName>
    <definedName name="_xlnm.Print_Titles" localSheetId="2">'Criteria'!$5:$8</definedName>
    <definedName name="_xlnm.Print_Titles" localSheetId="8">'CV'!$1:$1</definedName>
    <definedName name="_xlnm.Print_Titles" localSheetId="6">'EffData'!$1:$1</definedName>
    <definedName name="_xlnm.Print_Titles" localSheetId="9">'fs_RPA'!$1:$1</definedName>
    <definedName name="_xlnm.Print_Titles" localSheetId="3">'RPAinput'!$2:$4</definedName>
    <definedName name="rowWQBEL_Aquatic">'WQBEL'!$A$9</definedName>
    <definedName name="rowWQBEL_Avg">'WQBEL'!$A$25</definedName>
    <definedName name="rowWQBEL_BAvg">'WQBEL'!$A$16</definedName>
    <definedName name="rowWQBEL_Bio">'WQBEL'!$A$17</definedName>
    <definedName name="rowWQBEL_BMax">'WQBEL'!$A$15</definedName>
    <definedName name="rowWQBEL_Carcin">'WQBEL'!$A$18</definedName>
    <definedName name="rowWQBEL_CTR">'WQBEL'!$A$2</definedName>
    <definedName name="rowWQBEL_Dilution">'WQBEL'!$A$7</definedName>
    <definedName name="rowWQBEL_HH">'WQBEL'!$A$10</definedName>
    <definedName name="rowWQBEL_Interim">'WQBEL'!$A$54</definedName>
    <definedName name="rowWQBEL_MEC">'WQBEL'!$A$52</definedName>
    <definedName name="rowWQBEL_NotEnoughData">'WQBEL'!$A$24</definedName>
    <definedName name="rowWQBEL_PolName">'WQBEL'!$A$3</definedName>
    <definedName name="rowWQBEL_Samples">'WQBEL'!$A$8</definedName>
    <definedName name="rowWQBEL_StDev">'WQBEL'!$A$26</definedName>
    <definedName name="rowWQBEL_WQOAcute">'WQBEL'!$A$12</definedName>
    <definedName name="rowWQBEL_WQOBasis">'WQBEL'!$A$4</definedName>
    <definedName name="rowWQBEL_WQOChron">'WQBEL'!$A$13</definedName>
    <definedName name="rowWQBEL_WQOHH">'WQBEL'!$A$14</definedName>
    <definedName name="rowWQBEL_WQOMin">'WQBEL'!$A$5</definedName>
    <definedName name="RPAResult1">'Appndix-F2(RPA)'!$S$4</definedName>
    <definedName name="RPAResult10">'Appndix-F2(RPA)'!$S$14</definedName>
    <definedName name="RPAResult100">'Appndix-F2(RPA)'!$S$104</definedName>
    <definedName name="RPAResult1001">'Appndix-F2(RPA)'!$S$126</definedName>
    <definedName name="RPAResult1002">'Appndix-F2(RPA)'!$S$127</definedName>
    <definedName name="RPAResult101">'Appndix-F2(RPA)'!$S$105</definedName>
    <definedName name="RPAResult102">'Appndix-F2(RPA)'!$S$106</definedName>
    <definedName name="RPAResult103">'Appndix-F2(RPA)'!$S$107</definedName>
    <definedName name="RPAResult104">'Appndix-F2(RPA)'!$S$108</definedName>
    <definedName name="RPAResult105">'Appndix-F2(RPA)'!$S$109</definedName>
    <definedName name="RPAResult106">'Appndix-F2(RPA)'!$S$110</definedName>
    <definedName name="RPAResult107">'Appndix-F2(RPA)'!$S$111</definedName>
    <definedName name="RPAResult108">'Appndix-F2(RPA)'!$S$112</definedName>
    <definedName name="RPAResult109">'Appndix-F2(RPA)'!$S$113</definedName>
    <definedName name="RPAResult11">'Appndix-F2(RPA)'!$S$15</definedName>
    <definedName name="RPAResult110">'Appndix-F2(RPA)'!$S$114</definedName>
    <definedName name="RPAResult111">'Appndix-F2(RPA)'!$S$115</definedName>
    <definedName name="RPAResult112">'Appndix-F2(RPA)'!$S$116</definedName>
    <definedName name="RPAResult113">'Appndix-F2(RPA)'!$S$117</definedName>
    <definedName name="RPAResult114">'Appndix-F2(RPA)'!$S$118</definedName>
    <definedName name="RPAResult115">'Appndix-F2(RPA)'!$S$119</definedName>
    <definedName name="RPAResult116">'Appndix-F2(RPA)'!$S$120</definedName>
    <definedName name="RPAResult117">'Appndix-F2(RPA)'!$S$121</definedName>
    <definedName name="RPAResult118">'Appndix-F2(RPA)'!$S$122</definedName>
    <definedName name="RPAResult119">'Appndix-F2(RPA)'!$S$123</definedName>
    <definedName name="RPAResult12">'Appndix-F2(RPA)'!$S$16</definedName>
    <definedName name="RPAResult125.5">'Appndix-F2(RPA)'!$S$124</definedName>
    <definedName name="RPAResult126">'Appndix-F2(RPA)'!$S$125</definedName>
    <definedName name="RPAResult13">'Appndix-F2(RPA)'!$S$17</definedName>
    <definedName name="RPAResult14">'Appndix-F2(RPA)'!$S$18</definedName>
    <definedName name="RPAResult15">'Appndix-F2(RPA)'!$S$19</definedName>
    <definedName name="RPAResult16">'Appndix-F2(RPA)'!$S$20</definedName>
    <definedName name="RPAResult17">'Appndix-F2(RPA)'!$S$21</definedName>
    <definedName name="RPAResult18">'Appndix-F2(RPA)'!$S$22</definedName>
    <definedName name="RPAResult19">'Appndix-F2(RPA)'!$S$23</definedName>
    <definedName name="RPAResult2">'Appndix-F2(RPA)'!$S$5</definedName>
    <definedName name="RPAResult20">'Appndix-F2(RPA)'!$S$24</definedName>
    <definedName name="RPAResult21">'Appndix-F2(RPA)'!$S$25</definedName>
    <definedName name="RPAResult22">'Appndix-F2(RPA)'!$S$26</definedName>
    <definedName name="RPAResult23">'Appndix-F2(RPA)'!$S$27</definedName>
    <definedName name="RPAResult24">'Appndix-F2(RPA)'!$S$28</definedName>
    <definedName name="RPAResult25">'Appndix-F2(RPA)'!$S$29</definedName>
    <definedName name="RPAResult26">'Appndix-F2(RPA)'!$S$30</definedName>
    <definedName name="RPAResult27">'Appndix-F2(RPA)'!$S$31</definedName>
    <definedName name="RPAResult28">'Appndix-F2(RPA)'!$S$32</definedName>
    <definedName name="RPAResult29">'Appndix-F2(RPA)'!$S$33</definedName>
    <definedName name="RPAResult3">'Appndix-F2(RPA)'!$S$6</definedName>
    <definedName name="RPAResult30">'Appndix-F2(RPA)'!$S$34</definedName>
    <definedName name="RPAResult31">'Appndix-F2(RPA)'!$S$35</definedName>
    <definedName name="RPAResult32">'Appndix-F2(RPA)'!$S$36</definedName>
    <definedName name="RPAResult33">'Appndix-F2(RPA)'!$S$37</definedName>
    <definedName name="RPAResult34">'Appndix-F2(RPA)'!$S$38</definedName>
    <definedName name="RPAResult35">'Appndix-F2(RPA)'!$S$39</definedName>
    <definedName name="RPAResult36">'Appndix-F2(RPA)'!$S$40</definedName>
    <definedName name="RPAResult37">'Appndix-F2(RPA)'!$S$41</definedName>
    <definedName name="RPAResult38">'Appndix-F2(RPA)'!$S$42</definedName>
    <definedName name="RPAResult39">'Appndix-F2(RPA)'!$S$43</definedName>
    <definedName name="RPAResult4">'Appndix-F2(RPA)'!$S$7</definedName>
    <definedName name="RPAResult40">'Appndix-F2(RPA)'!$S$44</definedName>
    <definedName name="RPAResult41">'Appndix-F2(RPA)'!$S$45</definedName>
    <definedName name="RPAResult42">'Appndix-F2(RPA)'!$S$46</definedName>
    <definedName name="RPAResult43">'Appndix-F2(RPA)'!$S$47</definedName>
    <definedName name="RPAResult44">'Appndix-F2(RPA)'!$S$48</definedName>
    <definedName name="RPAResult45">'Appndix-F2(RPA)'!$S$49</definedName>
    <definedName name="RPAResult46">'Appndix-F2(RPA)'!$S$50</definedName>
    <definedName name="RPAResult47">'Appndix-F2(RPA)'!$S$51</definedName>
    <definedName name="RPAResult48">'Appndix-F2(RPA)'!$S$52</definedName>
    <definedName name="RPAResult49">'Appndix-F2(RPA)'!$S$53</definedName>
    <definedName name="RPAResult5.1">'Appndix-F2(RPA)'!$S$8</definedName>
    <definedName name="RPAResult5.2">'Appndix-F2(RPA)'!$S$9</definedName>
    <definedName name="RPAResult50">'Appndix-F2(RPA)'!$S$54</definedName>
    <definedName name="RPAResult51">'Appndix-F2(RPA)'!$S$55</definedName>
    <definedName name="RPAResult52">'Appndix-F2(RPA)'!$S$56</definedName>
    <definedName name="RPAResult53">'Appndix-F2(RPA)'!$S$57</definedName>
    <definedName name="RPAResult54">'Appndix-F2(RPA)'!$S$58</definedName>
    <definedName name="RPAResult55">'Appndix-F2(RPA)'!$S$59</definedName>
    <definedName name="RPAResult56">'Appndix-F2(RPA)'!$S$60</definedName>
    <definedName name="RPAResult57">'Appndix-F2(RPA)'!$S$61</definedName>
    <definedName name="RPAResult58">'Appndix-F2(RPA)'!$S$62</definedName>
    <definedName name="RPAResult59">'Appndix-F2(RPA)'!$S$63</definedName>
    <definedName name="RPAResult6">'Appndix-F2(RPA)'!$S$10</definedName>
    <definedName name="RPAResult60">'Appndix-F2(RPA)'!$S$64</definedName>
    <definedName name="RPAResult61">'Appndix-F2(RPA)'!$S$65</definedName>
    <definedName name="RPAResult62">'Appndix-F2(RPA)'!$S$66</definedName>
    <definedName name="RPAResult63">'Appndix-F2(RPA)'!$S$67</definedName>
    <definedName name="RPAResult64">'Appndix-F2(RPA)'!$S$68</definedName>
    <definedName name="RPAResult65">'Appndix-F2(RPA)'!$S$69</definedName>
    <definedName name="RPAResult66">'Appndix-F2(RPA)'!$S$70</definedName>
    <definedName name="RPAResult67">'Appndix-F2(RPA)'!$S$71</definedName>
    <definedName name="RPAResult68">'Appndix-F2(RPA)'!$S$72</definedName>
    <definedName name="RPAResult69">'Appndix-F2(RPA)'!$S$73</definedName>
    <definedName name="RPAResult7">'Appndix-F2(RPA)'!$S$11</definedName>
    <definedName name="RPAResult70">'Appndix-F2(RPA)'!$S$74</definedName>
    <definedName name="RPAResult71">'Appndix-F2(RPA)'!$S$75</definedName>
    <definedName name="RPAResult72">'Appndix-F2(RPA)'!$S$76</definedName>
    <definedName name="RPAResult73">'Appndix-F2(RPA)'!$S$77</definedName>
    <definedName name="RPAResult74">'Appndix-F2(RPA)'!$S$78</definedName>
    <definedName name="RPAResult75">'Appndix-F2(RPA)'!$S$79</definedName>
    <definedName name="RPAResult76">'Appndix-F2(RPA)'!$S$80</definedName>
    <definedName name="RPAResult77">'Appndix-F2(RPA)'!$S$81</definedName>
    <definedName name="RPAResult78">'Appndix-F2(RPA)'!$S$82</definedName>
    <definedName name="RPAResult79">'Appndix-F2(RPA)'!$S$83</definedName>
    <definedName name="RPAResult8">'Appndix-F2(RPA)'!$S$12</definedName>
    <definedName name="RPAResult80">'Appndix-F2(RPA)'!$S$84</definedName>
    <definedName name="RPAResult81">'Appndix-F2(RPA)'!$S$85</definedName>
    <definedName name="RPAResult82">'Appndix-F2(RPA)'!$S$86</definedName>
    <definedName name="RPAResult83">'Appndix-F2(RPA)'!$S$87</definedName>
    <definedName name="RPAResult84">'Appndix-F2(RPA)'!$S$88</definedName>
    <definedName name="RPAResult85">'Appndix-F2(RPA)'!$S$89</definedName>
    <definedName name="RPAResult86">'Appndix-F2(RPA)'!$S$90</definedName>
    <definedName name="RPAResult87">'Appndix-F2(RPA)'!$S$91</definedName>
    <definedName name="RPAResult88">'Appndix-F2(RPA)'!$S$92</definedName>
    <definedName name="RPAResult89">'Appndix-F2(RPA)'!$S$93</definedName>
    <definedName name="RPAResult9">'Appndix-F2(RPA)'!$S$13</definedName>
    <definedName name="RPAResult90">'Appndix-F2(RPA)'!$S$94</definedName>
    <definedName name="RPAResult91">'Appndix-F2(RPA)'!$S$95</definedName>
    <definedName name="RPAResult92">'Appndix-F2(RPA)'!$S$96</definedName>
    <definedName name="RPAResult93">'Appndix-F2(RPA)'!$S$97</definedName>
    <definedName name="RPAResult94">'Appndix-F2(RPA)'!$S$98</definedName>
    <definedName name="RPAResult95">'Appndix-F2(RPA)'!$S$99</definedName>
    <definedName name="RPAResult96">'Appndix-F2(RPA)'!$S$100</definedName>
    <definedName name="RPAResult97">'Appndix-F2(RPA)'!$S$101</definedName>
    <definedName name="RPAResult98">'Appndix-F2(RPA)'!$S$102</definedName>
    <definedName name="RPAResult99">'Appndix-F2(RPA)'!$S$103</definedName>
    <definedName name="WQOAcute1">'Criteria'!$G$9</definedName>
    <definedName name="WQOAcute10">'Criteria'!$G$19</definedName>
    <definedName name="WQOAcute100">'Criteria'!$G$110</definedName>
    <definedName name="WQOAcute1001">'Criteria'!$G$132</definedName>
    <definedName name="WQOAcute1002">'Criteria'!$G$133</definedName>
    <definedName name="WQOAcute101">'Criteria'!$G$111</definedName>
    <definedName name="WQOAcute102">'Criteria'!$G$112</definedName>
    <definedName name="WQOAcute103">'Criteria'!$G$113</definedName>
    <definedName name="WQOAcute104">'Criteria'!$G$114</definedName>
    <definedName name="WQOAcute105">'Criteria'!$G$115</definedName>
    <definedName name="WQOAcute106">'Criteria'!$G$116</definedName>
    <definedName name="WQOAcute107">'Criteria'!$G$117</definedName>
    <definedName name="WQOAcute108">'Criteria'!$G$118</definedName>
    <definedName name="WQOAcute109">'Criteria'!$G$119</definedName>
    <definedName name="WQOAcute11">'Criteria'!$G$20</definedName>
    <definedName name="WQOAcute110">'Criteria'!$G$120</definedName>
    <definedName name="WQOAcute111">'Criteria'!$G$121</definedName>
    <definedName name="WQOAcute112">'Criteria'!$G$122</definedName>
    <definedName name="WQOAcute113">'Criteria'!$G$123</definedName>
    <definedName name="WQOAcute114">'Criteria'!$G$124</definedName>
    <definedName name="WQOAcute115">'Criteria'!$G$125</definedName>
    <definedName name="WQOAcute116">'Criteria'!$G$126</definedName>
    <definedName name="WQOAcute117">'Criteria'!$G$127</definedName>
    <definedName name="WQOAcute118">'Criteria'!$G$128</definedName>
    <definedName name="WQOAcute119">'Criteria'!$G$129</definedName>
    <definedName name="WQOAcute12">'Criteria'!$G$21</definedName>
    <definedName name="WQOAcute125.5">'Criteria'!$G$130</definedName>
    <definedName name="WQOAcute126">'Criteria'!$G$131</definedName>
    <definedName name="WQOAcute13">'Criteria'!$G$22</definedName>
    <definedName name="WQOAcute14">'Criteria'!$G$23</definedName>
    <definedName name="WQOAcute15">'Criteria'!$G$24</definedName>
    <definedName name="WQOAcute16">'Criteria'!$G$26</definedName>
    <definedName name="WQOAcute17">'Criteria'!$G$27</definedName>
    <definedName name="WQOAcute18">'Criteria'!$G$28</definedName>
    <definedName name="WQOAcute19">'Criteria'!$G$29</definedName>
    <definedName name="WQOAcute2">'Criteria'!$G$10</definedName>
    <definedName name="WQOAcute20">'Criteria'!$G$30</definedName>
    <definedName name="WQOAcute21">'Criteria'!$G$31</definedName>
    <definedName name="WQOAcute22">'Criteria'!$G$32</definedName>
    <definedName name="WQOAcute23">'Criteria'!$G$33</definedName>
    <definedName name="WQOAcute24">'Criteria'!$G$34</definedName>
    <definedName name="WQOAcute25">'Criteria'!$G$35</definedName>
    <definedName name="WQOAcute26">'Criteria'!$G$36</definedName>
    <definedName name="WQOAcute27">'Criteria'!$G$37</definedName>
    <definedName name="WQOAcute28">'Criteria'!$G$38</definedName>
    <definedName name="WQOAcute29">'Criteria'!$G$39</definedName>
    <definedName name="WQOAcute3">'Criteria'!$G$11</definedName>
    <definedName name="WQOAcute30">'Criteria'!$G$40</definedName>
    <definedName name="WQOAcute31">'Criteria'!$G$41</definedName>
    <definedName name="WQOAcute32">'Criteria'!$G$42</definedName>
    <definedName name="WQOAcute33">'Criteria'!$G$43</definedName>
    <definedName name="WQOAcute34">'Criteria'!$G$44</definedName>
    <definedName name="WQOAcute35">'Criteria'!$G$45</definedName>
    <definedName name="WQOAcute36">'Criteria'!$G$46</definedName>
    <definedName name="WQOAcute37">'Criteria'!$G$47</definedName>
    <definedName name="WQOAcute38">'Criteria'!$G$48</definedName>
    <definedName name="WQOAcute39">'Criteria'!$G$49</definedName>
    <definedName name="WQOAcute4">'Criteria'!$G$12</definedName>
    <definedName name="WQOAcute40">'Criteria'!$G$50</definedName>
    <definedName name="WQOAcute41">'Criteria'!$G$51</definedName>
    <definedName name="WQOAcute42">'Criteria'!$G$52</definedName>
    <definedName name="WQOAcute43">'Criteria'!$G$53</definedName>
    <definedName name="WQOAcute44">'Criteria'!$G$54</definedName>
    <definedName name="WQOAcute45">'Criteria'!$G$55</definedName>
    <definedName name="WQOAcute46">'Criteria'!$G$56</definedName>
    <definedName name="WQOAcute47">'Criteria'!$G$57</definedName>
    <definedName name="WQOAcute48">'Criteria'!$G$58</definedName>
    <definedName name="WQOAcute49">'Criteria'!$G$59</definedName>
    <definedName name="WQOAcute5.1">'Criteria'!$G$13</definedName>
    <definedName name="WQOAcute5.2">'Criteria'!$G$14</definedName>
    <definedName name="WQOAcute50">'Criteria'!$G$60</definedName>
    <definedName name="WQOAcute51">'Criteria'!$G$61</definedName>
    <definedName name="WQOAcute52">'Criteria'!$G$62</definedName>
    <definedName name="WQOAcute53">'Criteria'!$G$63</definedName>
    <definedName name="WQOAcute54">'Criteria'!$G$64</definedName>
    <definedName name="WQOAcute55">'Criteria'!$G$65</definedName>
    <definedName name="WQOAcute56">'Criteria'!$G$66</definedName>
    <definedName name="WQOAcute57">'Criteria'!$G$67</definedName>
    <definedName name="WQOAcute58">'Criteria'!$G$68</definedName>
    <definedName name="WQOAcute59">'Criteria'!$G$69</definedName>
    <definedName name="WQOAcute6">'Criteria'!$G$15</definedName>
    <definedName name="WQOAcute60">'Criteria'!$G$70</definedName>
    <definedName name="WQOAcute61">'Criteria'!$G$71</definedName>
    <definedName name="WQOAcute62">'Criteria'!$G$72</definedName>
    <definedName name="WQOAcute63">'Criteria'!$G$73</definedName>
    <definedName name="WQOAcute64">'Criteria'!$G$74</definedName>
    <definedName name="WQOAcute65">'Criteria'!$G$75</definedName>
    <definedName name="WQOAcute66">'Criteria'!$G$76</definedName>
    <definedName name="WQOAcute67">'Criteria'!$G$77</definedName>
    <definedName name="WQOAcute68">'Criteria'!$G$78</definedName>
    <definedName name="WQOAcute69">'Criteria'!$G$79</definedName>
    <definedName name="WQOAcute7">'Criteria'!$G$16</definedName>
    <definedName name="WQOAcute70">'Criteria'!$G$80</definedName>
    <definedName name="WQOAcute71">'Criteria'!$G$81</definedName>
    <definedName name="WQOAcute72">'Criteria'!$G$82</definedName>
    <definedName name="WQOAcute73">'Criteria'!$G$83</definedName>
    <definedName name="WQOAcute74">'Criteria'!$G$84</definedName>
    <definedName name="WQOAcute75">'Criteria'!$G$85</definedName>
    <definedName name="WQOAcute76">'Criteria'!$G$86</definedName>
    <definedName name="WQOAcute77">'Criteria'!$G$87</definedName>
    <definedName name="WQOAcute78">'Criteria'!$G$88</definedName>
    <definedName name="WQOAcute79">'Criteria'!$G$89</definedName>
    <definedName name="WQOAcute8">'Criteria'!$G$17</definedName>
    <definedName name="WQOAcute80">'Criteria'!$G$90</definedName>
    <definedName name="WQOAcute81">'Criteria'!$G$91</definedName>
    <definedName name="WQOAcute82">'Criteria'!$G$92</definedName>
    <definedName name="WQOAcute83">'Criteria'!$G$93</definedName>
    <definedName name="WQOAcute84">'Criteria'!$G$94</definedName>
    <definedName name="WQOAcute85">'Criteria'!$G$95</definedName>
    <definedName name="WQOAcute86">'Criteria'!$G$96</definedName>
    <definedName name="WQOAcute87">'Criteria'!$G$97</definedName>
    <definedName name="WQOAcute88">'Criteria'!$G$98</definedName>
    <definedName name="WQOAcute89">'Criteria'!$G$99</definedName>
    <definedName name="WQOAcute9">'Criteria'!$G$18</definedName>
    <definedName name="WQOAcute90">'Criteria'!$G$100</definedName>
    <definedName name="WQOAcute91">'Criteria'!$G$101</definedName>
    <definedName name="WQOAcute92">'Criteria'!$G$102</definedName>
    <definedName name="WQOAcute93">'Criteria'!$G$103</definedName>
    <definedName name="WQOAcute94">'Criteria'!$G$104</definedName>
    <definedName name="WQOAcute95">'Criteria'!$G$105</definedName>
    <definedName name="WQOAcute96">'Criteria'!$G$106</definedName>
    <definedName name="WQOAcute97">'Criteria'!$G$107</definedName>
    <definedName name="WQOAcute98">'Criteria'!$G$108</definedName>
    <definedName name="WQOAcute99">'Criteria'!$G$109</definedName>
    <definedName name="WQOBasis1">'Criteria'!$F$9</definedName>
    <definedName name="WQOBasis10">'Criteria'!$F$19</definedName>
    <definedName name="WQOBasis100">'Criteria'!$F$110</definedName>
    <definedName name="WQOBasis1001">'Criteria'!$F$132</definedName>
    <definedName name="WQOBasis1002">'Criteria'!$F$133</definedName>
    <definedName name="WQOBasis101">'Criteria'!$F$111</definedName>
    <definedName name="WQOBasis102">'Criteria'!$F$112</definedName>
    <definedName name="WQOBasis103">'Criteria'!$F$113</definedName>
    <definedName name="WQOBasis104">'Criteria'!$F$114</definedName>
    <definedName name="WQOBasis105">'Criteria'!$F$115</definedName>
    <definedName name="WQOBasis106">'Criteria'!$F$116</definedName>
    <definedName name="WQOBasis107">'Criteria'!$F$117</definedName>
    <definedName name="WQOBasis108">'Criteria'!$F$118</definedName>
    <definedName name="WQOBasis109">'Criteria'!$F$119</definedName>
    <definedName name="WQOBasis11">'Criteria'!$F$20</definedName>
    <definedName name="WQOBasis110">'Criteria'!$F$120</definedName>
    <definedName name="WQOBasis111">'Criteria'!$F$121</definedName>
    <definedName name="WQOBasis112">'Criteria'!$F$122</definedName>
    <definedName name="WQOBasis113">'Criteria'!$F$123</definedName>
    <definedName name="WQOBasis114">'Criteria'!$F$124</definedName>
    <definedName name="WQOBasis115">'Criteria'!$F$125</definedName>
    <definedName name="WQOBasis116">'Criteria'!$F$126</definedName>
    <definedName name="WQOBasis117">'Criteria'!$F$127</definedName>
    <definedName name="WQOBasis118">'Criteria'!$F$128</definedName>
    <definedName name="WQOBasis119">'Criteria'!$F$129</definedName>
    <definedName name="WQOBasis12">'Criteria'!$F$21</definedName>
    <definedName name="WQOBasis125.5">'Criteria'!$F$130</definedName>
    <definedName name="WQOBasis126">'Criteria'!$F$131</definedName>
    <definedName name="WQOBasis13">'Criteria'!$F$22</definedName>
    <definedName name="WQOBasis14">'Criteria'!$F$23</definedName>
    <definedName name="WQOBasis15">'Criteria'!$F$24</definedName>
    <definedName name="WQOBasis16">'Criteria'!$F$26</definedName>
    <definedName name="WQOBasis17">'Criteria'!$F$27</definedName>
    <definedName name="WQOBasis18">'Criteria'!$F$28</definedName>
    <definedName name="WQOBasis19">'Criteria'!$F$29</definedName>
    <definedName name="WQOBasis2">'Criteria'!$F$10</definedName>
    <definedName name="WQOBasis20">'Criteria'!$F$30</definedName>
    <definedName name="WQOBasis21">'Criteria'!$F$31</definedName>
    <definedName name="WQOBasis22">'Criteria'!$F$32</definedName>
    <definedName name="WQOBasis23">'Criteria'!$F$33</definedName>
    <definedName name="WQOBasis24">'Criteria'!$F$34</definedName>
    <definedName name="WQOBasis25">'Criteria'!$F$35</definedName>
    <definedName name="WQOBasis26">'Criteria'!$F$36</definedName>
    <definedName name="WQOBasis27">'Criteria'!$F$37</definedName>
    <definedName name="WQOBasis28">'Criteria'!$F$38</definedName>
    <definedName name="WQOBasis29">'Criteria'!$F$39</definedName>
    <definedName name="WQOBasis3">'Criteria'!$F$11</definedName>
    <definedName name="WQOBasis30">'Criteria'!$F$40</definedName>
    <definedName name="WQOBasis31">'Criteria'!$F$41</definedName>
    <definedName name="WQOBasis32">'Criteria'!$F$42</definedName>
    <definedName name="WQOBasis33">'Criteria'!$F$43</definedName>
    <definedName name="WQOBasis34">'Criteria'!$F$44</definedName>
    <definedName name="WQOBasis35">'Criteria'!$F$45</definedName>
    <definedName name="WQOBasis36">'Criteria'!$F$46</definedName>
    <definedName name="WQOBasis37">'Criteria'!$F$47</definedName>
    <definedName name="WQOBasis38">'Criteria'!$F$48</definedName>
    <definedName name="WQOBasis39">'Criteria'!$F$49</definedName>
    <definedName name="WQOBasis4">'Criteria'!$F$12</definedName>
    <definedName name="WQOBasis40">'Criteria'!$F$50</definedName>
    <definedName name="WQOBasis41">'Criteria'!$F$51</definedName>
    <definedName name="WQOBasis42">'Criteria'!$F$52</definedName>
    <definedName name="WQOBasis43">'Criteria'!$F$53</definedName>
    <definedName name="WQOBasis44">'Criteria'!$F$54</definedName>
    <definedName name="WQOBasis45">'Criteria'!$F$55</definedName>
    <definedName name="WQOBasis46">'Criteria'!$F$56</definedName>
    <definedName name="WQOBasis47">'Criteria'!$F$57</definedName>
    <definedName name="WQOBasis48">'Criteria'!$F$58</definedName>
    <definedName name="WQOBasis49">'Criteria'!$F$59</definedName>
    <definedName name="WQOBasis5.1">'Criteria'!$F$13</definedName>
    <definedName name="WQOBasis5.2">'Criteria'!$F$14</definedName>
    <definedName name="WQOBasis50">'Criteria'!$F$60</definedName>
    <definedName name="WQOBasis51">'Criteria'!$F$61</definedName>
    <definedName name="WQOBasis52">'Criteria'!$F$62</definedName>
    <definedName name="WQOBasis53">'Criteria'!$F$63</definedName>
    <definedName name="WQOBasis54">'Criteria'!$F$64</definedName>
    <definedName name="WQOBasis55">'Criteria'!$F$65</definedName>
    <definedName name="WQOBasis56">'Criteria'!$F$66</definedName>
    <definedName name="WQOBasis57">'Criteria'!$F$67</definedName>
    <definedName name="WQOBasis58">'Criteria'!$F$68</definedName>
    <definedName name="WQOBasis59">'Criteria'!$F$69</definedName>
    <definedName name="WQOBasis6">'Criteria'!$F$15</definedName>
    <definedName name="WQOBasis60">'Criteria'!$F$70</definedName>
    <definedName name="WQOBasis61">'Criteria'!$F$71</definedName>
    <definedName name="WQOBasis62">'Criteria'!$F$72</definedName>
    <definedName name="WQOBasis63">'Criteria'!$F$73</definedName>
    <definedName name="WQOBasis64">'Criteria'!$F$74</definedName>
    <definedName name="WQOBasis65">'Criteria'!$F$75</definedName>
    <definedName name="WQOBasis66">'Criteria'!$F$76</definedName>
    <definedName name="WQOBasis67">'Criteria'!$F$77</definedName>
    <definedName name="WQOBasis68">'Criteria'!$F$78</definedName>
    <definedName name="WQOBasis69">'Criteria'!$F$79</definedName>
    <definedName name="WQOBasis7">'Criteria'!$F$16</definedName>
    <definedName name="WQOBasis70">'Criteria'!$F$80</definedName>
    <definedName name="WQOBasis71">'Criteria'!$F$81</definedName>
    <definedName name="WQOBasis72">'Criteria'!$F$82</definedName>
    <definedName name="WQOBasis73">'Criteria'!$F$83</definedName>
    <definedName name="WQOBasis74">'Criteria'!$F$84</definedName>
    <definedName name="WQOBasis75">'Criteria'!$F$85</definedName>
    <definedName name="WQOBasis76">'Criteria'!$F$86</definedName>
    <definedName name="WQOBasis77">'Criteria'!$F$87</definedName>
    <definedName name="WQOBasis78">'Criteria'!$F$88</definedName>
    <definedName name="WQOBasis79">'Criteria'!$F$89</definedName>
    <definedName name="WQOBasis8">'Criteria'!$F$17</definedName>
    <definedName name="WQOBasis80">'Criteria'!$F$90</definedName>
    <definedName name="WQOBasis81">'Criteria'!$F$91</definedName>
    <definedName name="WQOBasis82">'Criteria'!$F$92</definedName>
    <definedName name="WQOBasis83">'Criteria'!$F$93</definedName>
    <definedName name="WQOBasis84">'Criteria'!$F$94</definedName>
    <definedName name="WQOBasis85">'Criteria'!$F$95</definedName>
    <definedName name="WQOBasis86">'Criteria'!$F$96</definedName>
    <definedName name="WQOBasis87">'Criteria'!$F$97</definedName>
    <definedName name="WQOBasis88">'Criteria'!$F$98</definedName>
    <definedName name="WQOBasis89">'Criteria'!$F$99</definedName>
    <definedName name="WQOBasis9">'Criteria'!$F$18</definedName>
    <definedName name="WQOBasis90">'Criteria'!$F$100</definedName>
    <definedName name="WQOBasis91">'Criteria'!$F$101</definedName>
    <definedName name="WQOBasis92">'Criteria'!$F$102</definedName>
    <definedName name="WQOBasis93">'Criteria'!$F$103</definedName>
    <definedName name="WQOBasis94">'Criteria'!$F$104</definedName>
    <definedName name="WQOBasis95">'Criteria'!$F$105</definedName>
    <definedName name="WQOBasis96">'Criteria'!$F$106</definedName>
    <definedName name="WQOBasis97">'Criteria'!$F$107</definedName>
    <definedName name="WQOBasis98">'Criteria'!$F$108</definedName>
    <definedName name="WQOBasis99">'Criteria'!$F$109</definedName>
    <definedName name="WQOChron1">'Criteria'!$H$9</definedName>
    <definedName name="WQOChron10">'Criteria'!$H$19</definedName>
    <definedName name="WQOChron100">'Criteria'!$H$110</definedName>
    <definedName name="WQOChron1001">'Criteria'!$H$132</definedName>
    <definedName name="WQOChron1002">'Criteria'!$H$133</definedName>
    <definedName name="WQOChron101">'Criteria'!$H$111</definedName>
    <definedName name="WQOChron102">'Criteria'!$H$112</definedName>
    <definedName name="WQOChron103">'Criteria'!$H$113</definedName>
    <definedName name="WQOChron104">'Criteria'!$H$114</definedName>
    <definedName name="WQOChron105">'Criteria'!$H$115</definedName>
    <definedName name="WQOChron106">'Criteria'!$H$116</definedName>
    <definedName name="WQOChron107">'Criteria'!$H$117</definedName>
    <definedName name="WQOChron108">'Criteria'!$H$118</definedName>
    <definedName name="WQOChron109">'Criteria'!$H$119</definedName>
    <definedName name="WQOChron11">'Criteria'!$H$20</definedName>
    <definedName name="WQOChron110">'Criteria'!$H$120</definedName>
    <definedName name="WQOChron111">'Criteria'!$H$121</definedName>
    <definedName name="WQOChron112">'Criteria'!$H$122</definedName>
    <definedName name="WQOChron113">'Criteria'!$H$123</definedName>
    <definedName name="WQOChron114">'Criteria'!$H$124</definedName>
    <definedName name="WQOChron115">'Criteria'!$H$125</definedName>
    <definedName name="WQOChron116">'Criteria'!$H$126</definedName>
    <definedName name="WQOChron117">'Criteria'!$H$127</definedName>
    <definedName name="WQOChron118">'Criteria'!$H$128</definedName>
    <definedName name="WQOChron119">'Criteria'!$H$129</definedName>
    <definedName name="WQOChron12">'Criteria'!$H$21</definedName>
    <definedName name="WQOChron125.5">'Criteria'!$H$130</definedName>
    <definedName name="WQOChron126">'Criteria'!$H$131</definedName>
    <definedName name="WQOChron13">'Criteria'!$H$22</definedName>
    <definedName name="WQOChron14">'Criteria'!$H$23</definedName>
    <definedName name="WQOChron15">'Criteria'!$H$24</definedName>
    <definedName name="WQOChron16">'Criteria'!$H$26</definedName>
    <definedName name="WQOChron17">'Criteria'!$H$27</definedName>
    <definedName name="WQOChron18">'Criteria'!$H$28</definedName>
    <definedName name="WQOChron19">'Criteria'!$H$29</definedName>
    <definedName name="WQOChron2">'Criteria'!$H$10</definedName>
    <definedName name="WQOChron20">'Criteria'!$H$30</definedName>
    <definedName name="WQOChron21">'Criteria'!$H$31</definedName>
    <definedName name="WQOChron22">'Criteria'!$H$32</definedName>
    <definedName name="WQOChron23">'Criteria'!$H$33</definedName>
    <definedName name="WQOChron24">'Criteria'!$H$34</definedName>
    <definedName name="WQOChron25">'Criteria'!$H$35</definedName>
    <definedName name="WQOChron26">'Criteria'!$H$36</definedName>
    <definedName name="WQOChron27">'Criteria'!$H$37</definedName>
    <definedName name="WQOChron28">'Criteria'!$H$38</definedName>
    <definedName name="WQOChron29">'Criteria'!$H$39</definedName>
    <definedName name="WQOChron3">'Criteria'!$H$11</definedName>
    <definedName name="WQOChron30">'Criteria'!$H$40</definedName>
    <definedName name="WQOChron31">'Criteria'!$H$41</definedName>
    <definedName name="WQOChron32">'Criteria'!$H$42</definedName>
    <definedName name="WQOChron33">'Criteria'!$H$43</definedName>
    <definedName name="WQOChron34">'Criteria'!$H$44</definedName>
    <definedName name="WQOChron35">'Criteria'!$H$45</definedName>
    <definedName name="WQOChron36">'Criteria'!$H$46</definedName>
    <definedName name="WQOChron37">'Criteria'!$H$47</definedName>
    <definedName name="WQOChron38">'Criteria'!$H$48</definedName>
    <definedName name="WQOChron39">'Criteria'!$H$49</definedName>
    <definedName name="WQOChron4">'Criteria'!$H$12</definedName>
    <definedName name="WQOChron40">'Criteria'!$H$50</definedName>
    <definedName name="WQOChron41">'Criteria'!$H$51</definedName>
    <definedName name="WQOChron42">'Criteria'!$H$52</definedName>
    <definedName name="WQOChron43">'Criteria'!$H$53</definedName>
    <definedName name="WQOChron44">'Criteria'!$H$54</definedName>
    <definedName name="WQOChron45">'Criteria'!$H$55</definedName>
    <definedName name="WQOChron46">'Criteria'!$H$56</definedName>
    <definedName name="WQOChron47">'Criteria'!$H$57</definedName>
    <definedName name="WQOChron48">'Criteria'!$H$58</definedName>
    <definedName name="WQOChron49">'Criteria'!$H$59</definedName>
    <definedName name="WQOChron5.1">'Criteria'!$H$13</definedName>
    <definedName name="WQOChron5.2">'Criteria'!$H$14</definedName>
    <definedName name="WQOChron50">'Criteria'!$H$60</definedName>
    <definedName name="WQOChron51">'Criteria'!$H$61</definedName>
    <definedName name="WQOChron52">'Criteria'!$H$62</definedName>
    <definedName name="WQOChron53">'Criteria'!$H$63</definedName>
    <definedName name="WQOChron54">'Criteria'!$H$64</definedName>
    <definedName name="WQOChron55">'Criteria'!$H$65</definedName>
    <definedName name="WQOChron56">'Criteria'!$H$66</definedName>
    <definedName name="WQOChron57">'Criteria'!$H$67</definedName>
    <definedName name="WQOChron58">'Criteria'!$H$68</definedName>
    <definedName name="WQOChron59">'Criteria'!$H$69</definedName>
    <definedName name="WQOChron6">'Criteria'!$H$15</definedName>
    <definedName name="WQOChron60">'Criteria'!$H$70</definedName>
    <definedName name="WQOChron61">'Criteria'!$H$71</definedName>
    <definedName name="WQOChron62">'Criteria'!$H$72</definedName>
    <definedName name="WQOChron63">'Criteria'!$H$73</definedName>
    <definedName name="WQOChron64">'Criteria'!$H$74</definedName>
    <definedName name="WQOChron65">'Criteria'!$H$75</definedName>
    <definedName name="WQOChron66">'Criteria'!$H$76</definedName>
    <definedName name="WQOChron67">'Criteria'!$H$77</definedName>
    <definedName name="WQOChron68">'Criteria'!$H$78</definedName>
    <definedName name="WQOChron69">'Criteria'!$H$79</definedName>
    <definedName name="WQOChron7">'Criteria'!$H$16</definedName>
    <definedName name="WQOChron70">'Criteria'!$H$80</definedName>
    <definedName name="WQOChron71">'Criteria'!$H$81</definedName>
    <definedName name="WQOChron72">'Criteria'!$H$82</definedName>
    <definedName name="WQOChron73">'Criteria'!$H$83</definedName>
    <definedName name="WQOChron74">'Criteria'!$H$84</definedName>
    <definedName name="WQOChron75">'Criteria'!$H$85</definedName>
    <definedName name="WQOChron76">'Criteria'!$H$86</definedName>
    <definedName name="WQOChron77">'Criteria'!$H$87</definedName>
    <definedName name="WQOChron78">'Criteria'!$H$88</definedName>
    <definedName name="WQOChron79">'Criteria'!$H$89</definedName>
    <definedName name="WQOChron8">'Criteria'!$H$17</definedName>
    <definedName name="WQOChron80">'Criteria'!$H$90</definedName>
    <definedName name="WQOChron81">'Criteria'!$H$91</definedName>
    <definedName name="WQOChron82">'Criteria'!$H$92</definedName>
    <definedName name="WQOChron83">'Criteria'!$H$93</definedName>
    <definedName name="WQOChron84">'Criteria'!$H$94</definedName>
    <definedName name="WQOChron85">'Criteria'!$H$95</definedName>
    <definedName name="WQOChron86">'Criteria'!$H$96</definedName>
    <definedName name="WQOChron87">'Criteria'!$H$97</definedName>
    <definedName name="WQOChron88">'Criteria'!$H$98</definedName>
    <definedName name="WQOChron89">'Criteria'!$H$99</definedName>
    <definedName name="WQOChron9">'Criteria'!$H$18</definedName>
    <definedName name="WQOChron90">'Criteria'!$H$100</definedName>
    <definedName name="WQOChron91">'Criteria'!$H$101</definedName>
    <definedName name="WQOChron92">'Criteria'!$H$102</definedName>
    <definedName name="WQOChron93">'Criteria'!$H$103</definedName>
    <definedName name="WQOChron94">'Criteria'!$H$104</definedName>
    <definedName name="WQOChron95">'Criteria'!$H$105</definedName>
    <definedName name="WQOChron96">'Criteria'!$H$106</definedName>
    <definedName name="WQOChron97">'Criteria'!$H$107</definedName>
    <definedName name="WQOChron98">'Criteria'!$H$108</definedName>
    <definedName name="WQOChron99">'Criteria'!$H$109</definedName>
    <definedName name="WQOHH1">'Criteria'!$I$9</definedName>
    <definedName name="WQOHH10">'Criteria'!$I$19</definedName>
    <definedName name="WQOHH100">'Criteria'!$I$110</definedName>
    <definedName name="WQOHH1001">'Criteria'!$I$132</definedName>
    <definedName name="WQOHH1002">'Criteria'!$I$133</definedName>
    <definedName name="WQOHH101">'Criteria'!$I$111</definedName>
    <definedName name="WQOHH102">'Criteria'!$I$112</definedName>
    <definedName name="WQOHH103">'Criteria'!$I$113</definedName>
    <definedName name="WQOHH104">'Criteria'!$I$114</definedName>
    <definedName name="WQOHH105">'Criteria'!$I$115</definedName>
    <definedName name="WQOHH106">'Criteria'!$I$116</definedName>
    <definedName name="WQOHH107">'Criteria'!$I$117</definedName>
    <definedName name="WQOHH108">'Criteria'!$I$118</definedName>
    <definedName name="WQOHH109">'Criteria'!$I$119</definedName>
    <definedName name="WQOHH11">'Criteria'!$I$20</definedName>
    <definedName name="WQOHH110">'Criteria'!$I$120</definedName>
    <definedName name="WQOHH111">'Criteria'!$I$121</definedName>
    <definedName name="WQOHH112">'Criteria'!$I$122</definedName>
    <definedName name="WQOHH113">'Criteria'!$I$123</definedName>
    <definedName name="WQOHH114">'Criteria'!$I$124</definedName>
    <definedName name="WQOHH115">'Criteria'!$I$125</definedName>
    <definedName name="WQOHH116">'Criteria'!$I$126</definedName>
    <definedName name="WQOHH117">'Criteria'!$I$127</definedName>
    <definedName name="WQOHH118">'Criteria'!$I$128</definedName>
    <definedName name="WQOHH119">'Criteria'!$I$129</definedName>
    <definedName name="WQOHH12">'Criteria'!$I$21</definedName>
    <definedName name="WQOHH125.5">'Criteria'!$I$130</definedName>
    <definedName name="WQOHH126">'Criteria'!$I$131</definedName>
    <definedName name="WQOHH13">'Criteria'!$I$22</definedName>
    <definedName name="WQOHH14">'Criteria'!$I$23</definedName>
    <definedName name="WQOHH15">'Criteria'!$I$24</definedName>
    <definedName name="WQOHH16">'Criteria'!$I$26</definedName>
    <definedName name="WQOHH17">'Criteria'!$I$27</definedName>
    <definedName name="WQOHH18">'Criteria'!$I$28</definedName>
    <definedName name="WQOHH19">'Criteria'!$I$29</definedName>
    <definedName name="WQOHH2">'Criteria'!$I$10</definedName>
    <definedName name="WQOHH20">'Criteria'!$I$30</definedName>
    <definedName name="WQOHH21">'Criteria'!$I$31</definedName>
    <definedName name="WQOHH22">'Criteria'!$I$32</definedName>
    <definedName name="WQOHH23">'Criteria'!$I$33</definedName>
    <definedName name="WQOHH24">'Criteria'!$I$34</definedName>
    <definedName name="WQOHH25">'Criteria'!$I$35</definedName>
    <definedName name="WQOHH26">'Criteria'!$I$36</definedName>
    <definedName name="WQOHH27">'Criteria'!$I$37</definedName>
    <definedName name="WQOHH28">'Criteria'!$I$38</definedName>
    <definedName name="WQOHH29">'Criteria'!$I$39</definedName>
    <definedName name="WQOHH3">'Criteria'!$I$11</definedName>
    <definedName name="WQOHH30">'Criteria'!$I$40</definedName>
    <definedName name="WQOHH31">'Criteria'!$I$41</definedName>
    <definedName name="WQOHH32">'Criteria'!$I$42</definedName>
    <definedName name="WQOHH33">'Criteria'!$I$43</definedName>
    <definedName name="WQOHH34">'Criteria'!$I$44</definedName>
    <definedName name="WQOHH35">'Criteria'!$I$45</definedName>
    <definedName name="WQOHH36">'Criteria'!$I$46</definedName>
    <definedName name="WQOHH37">'Criteria'!$I$47</definedName>
    <definedName name="WQOHH38">'Criteria'!$I$48</definedName>
    <definedName name="WQOHH39">'Criteria'!$I$49</definedName>
    <definedName name="WQOHH4">'Criteria'!$I$12</definedName>
    <definedName name="WQOHH40">'Criteria'!$I$50</definedName>
    <definedName name="WQOHH41">'Criteria'!$I$51</definedName>
    <definedName name="WQOHH42">'Criteria'!$I$52</definedName>
    <definedName name="WQOHH43">'Criteria'!$I$53</definedName>
    <definedName name="WQOHH44">'Criteria'!$I$54</definedName>
    <definedName name="WQOHH45">'Criteria'!$I$55</definedName>
    <definedName name="WQOHH46">'Criteria'!$I$56</definedName>
    <definedName name="WQOHH47">'Criteria'!$I$57</definedName>
    <definedName name="WQOHH48">'Criteria'!$I$58</definedName>
    <definedName name="WQOHH49">'Criteria'!$I$59</definedName>
    <definedName name="WQOHH5.1">'Criteria'!$I$13</definedName>
    <definedName name="WQOHH5.2">'Criteria'!$I$14</definedName>
    <definedName name="WQOHH50">'Criteria'!$I$60</definedName>
    <definedName name="WQOHH51">'Criteria'!$I$61</definedName>
    <definedName name="WQOHH52">'Criteria'!$I$62</definedName>
    <definedName name="WQOHH53">'Criteria'!$I$63</definedName>
    <definedName name="WQOHH54">'Criteria'!$I$64</definedName>
    <definedName name="WQOHH55">'Criteria'!$I$65</definedName>
    <definedName name="WQOHH56">'Criteria'!$I$66</definedName>
    <definedName name="WQOHH57">'Criteria'!$I$67</definedName>
    <definedName name="WQOHH58">'Criteria'!$I$68</definedName>
    <definedName name="WQOHH59">'Criteria'!$I$69</definedName>
    <definedName name="WQOHH6">'Criteria'!$I$15</definedName>
    <definedName name="WQOHH60">'Criteria'!$I$70</definedName>
    <definedName name="WQOHH61">'Criteria'!$I$71</definedName>
    <definedName name="WQOHH62">'Criteria'!$I$72</definedName>
    <definedName name="WQOHH63">'Criteria'!$I$73</definedName>
    <definedName name="WQOHH64">'Criteria'!$I$74</definedName>
    <definedName name="WQOHH65">'Criteria'!$I$75</definedName>
    <definedName name="WQOHH66">'Criteria'!$I$76</definedName>
    <definedName name="WQOHH67">'Criteria'!$I$77</definedName>
    <definedName name="WQOHH68">'Criteria'!$I$78</definedName>
    <definedName name="WQOHH69">'Criteria'!$I$79</definedName>
    <definedName name="WQOHH7">'Criteria'!$I$16</definedName>
    <definedName name="WQOHH70">'Criteria'!$I$80</definedName>
    <definedName name="WQOHH71">'Criteria'!$I$81</definedName>
    <definedName name="WQOHH72">'Criteria'!$I$82</definedName>
    <definedName name="WQOHH73">'Criteria'!$I$83</definedName>
    <definedName name="WQOHH74">'Criteria'!$I$84</definedName>
    <definedName name="WQOHH75">'Criteria'!$I$85</definedName>
    <definedName name="WQOHH76">'Criteria'!$I$86</definedName>
    <definedName name="WQOHH77">'Criteria'!$I$87</definedName>
    <definedName name="WQOHH78">'Criteria'!$I$88</definedName>
    <definedName name="WQOHH79">'Criteria'!$I$89</definedName>
    <definedName name="WQOHH8">'Criteria'!$I$17</definedName>
    <definedName name="WQOHH80">'Criteria'!$I$90</definedName>
    <definedName name="WQOHH81">'Criteria'!$I$91</definedName>
    <definedName name="WQOHH82">'Criteria'!$I$92</definedName>
    <definedName name="WQOHH83">'Criteria'!$I$93</definedName>
    <definedName name="WQOHH84">'Criteria'!$I$94</definedName>
    <definedName name="WQOHH85">'Criteria'!$I$95</definedName>
    <definedName name="WQOHH86">'Criteria'!$I$96</definedName>
    <definedName name="WQOHH87">'Criteria'!$I$97</definedName>
    <definedName name="WQOHH88">'Criteria'!$I$98</definedName>
    <definedName name="WQOHH89">'Criteria'!$I$99</definedName>
    <definedName name="WQOHH9">'Criteria'!$I$18</definedName>
    <definedName name="WQOHH90">'Criteria'!$I$100</definedName>
    <definedName name="WQOHH91">'Criteria'!$I$101</definedName>
    <definedName name="WQOHH92">'Criteria'!$I$102</definedName>
    <definedName name="WQOHH93">'Criteria'!$I$103</definedName>
    <definedName name="WQOHH94">'Criteria'!$I$104</definedName>
    <definedName name="WQOHH95">'Criteria'!$I$105</definedName>
    <definedName name="WQOHH96">'Criteria'!$I$106</definedName>
    <definedName name="WQOHH97">'Criteria'!$I$107</definedName>
    <definedName name="WQOHH98">'Criteria'!$I$108</definedName>
    <definedName name="WQOHH99">'Criteria'!$I$109</definedName>
    <definedName name="WQOMin1">'Criteria'!$E$9</definedName>
    <definedName name="WQOMin10">'Criteria'!$E$19</definedName>
    <definedName name="WQOMin100">'Criteria'!$E$110</definedName>
    <definedName name="WQOMin1001">'Criteria'!$E$132</definedName>
    <definedName name="WQOMin1002">'Criteria'!$E$133</definedName>
    <definedName name="WQOMin101">'Criteria'!$E$111</definedName>
    <definedName name="WQOMin102">'Criteria'!$E$112</definedName>
    <definedName name="WQOMin103">'Criteria'!$E$113</definedName>
    <definedName name="WQOMin104">'Criteria'!$E$114</definedName>
    <definedName name="WQOMin105">'Criteria'!$E$115</definedName>
    <definedName name="WQOMin106">'Criteria'!$E$116</definedName>
    <definedName name="WQOMin107">'Criteria'!$E$117</definedName>
    <definedName name="WQOMin108">'Criteria'!$E$118</definedName>
    <definedName name="WQOMin109">'Criteria'!$E$119</definedName>
    <definedName name="WQOMin11">'Criteria'!$E$20</definedName>
    <definedName name="WQOMin110">'Criteria'!$E$120</definedName>
    <definedName name="WQOMin111">'Criteria'!$E$121</definedName>
    <definedName name="WQOMin112">'Criteria'!$E$122</definedName>
    <definedName name="WQOMin113">'Criteria'!$E$123</definedName>
    <definedName name="WQOMin114">'Criteria'!$E$124</definedName>
    <definedName name="WQOMin115">'Criteria'!$E$125</definedName>
    <definedName name="WQOMin116">'Criteria'!$E$126</definedName>
    <definedName name="WQOMin117">'Criteria'!$E$127</definedName>
    <definedName name="WQOMin118">'Criteria'!$E$128</definedName>
    <definedName name="WQOMin119">'Criteria'!$E$129</definedName>
    <definedName name="WQOMin12">'Criteria'!$E$21</definedName>
    <definedName name="WQOMin125.5">'Criteria'!$E$130</definedName>
    <definedName name="WQOMin126">'Criteria'!$E$131</definedName>
    <definedName name="WQOMin13">'Criteria'!$E$22</definedName>
    <definedName name="WQOMin14">'Criteria'!$E$23</definedName>
    <definedName name="WQOMin15">'Criteria'!$E$24</definedName>
    <definedName name="WQOMin16">'Criteria'!$E$26</definedName>
    <definedName name="WQOMin17">'Criteria'!$E$27</definedName>
    <definedName name="WQOMin18">'Criteria'!$E$28</definedName>
    <definedName name="WQOMin19">'Criteria'!$E$29</definedName>
    <definedName name="WQOMin2">'Criteria'!$E$10</definedName>
    <definedName name="WQOMin20">'Criteria'!$E$30</definedName>
    <definedName name="WQOMin21">'Criteria'!$E$31</definedName>
    <definedName name="WQOMin22">'Criteria'!$E$32</definedName>
    <definedName name="WQOMin23">'Criteria'!$E$33</definedName>
    <definedName name="WQOMin24">'Criteria'!$E$34</definedName>
    <definedName name="WQOMin25">'Criteria'!$E$35</definedName>
    <definedName name="WQOMin26">'Criteria'!$E$36</definedName>
    <definedName name="WQOMin27">'Criteria'!$E$37</definedName>
    <definedName name="WQOMin28">'Criteria'!$E$38</definedName>
    <definedName name="WQOMin29">'Criteria'!$E$39</definedName>
    <definedName name="WQOMin3">'Criteria'!$E$11</definedName>
    <definedName name="WQOMin30">'Criteria'!$E$40</definedName>
    <definedName name="WQOMin31">'Criteria'!$E$41</definedName>
    <definedName name="WQOMin32">'Criteria'!$E$42</definedName>
    <definedName name="WQOMin33">'Criteria'!$E$43</definedName>
    <definedName name="WQOMin34">'Criteria'!$E$44</definedName>
    <definedName name="WQOMin35">'Criteria'!$E$45</definedName>
    <definedName name="WQOMin36">'Criteria'!$E$46</definedName>
    <definedName name="WQOMin37">'Criteria'!$E$47</definedName>
    <definedName name="WQOMin38">'Criteria'!$E$48</definedName>
    <definedName name="WQOMin39">'Criteria'!$E$49</definedName>
    <definedName name="WQOMin4">'Criteria'!$E$12</definedName>
    <definedName name="WQOMin40">'Criteria'!$E$50</definedName>
    <definedName name="WQOMin41">'Criteria'!$E$51</definedName>
    <definedName name="WQOMin42">'Criteria'!$E$52</definedName>
    <definedName name="WQOMin43">'Criteria'!$E$53</definedName>
    <definedName name="WQOMin44">'Criteria'!$E$54</definedName>
    <definedName name="WQOMin45">'Criteria'!$E$55</definedName>
    <definedName name="WQOMin46">'Criteria'!$E$56</definedName>
    <definedName name="WQOMin47">'Criteria'!$E$57</definedName>
    <definedName name="WQOMin48">'Criteria'!$E$58</definedName>
    <definedName name="WQOMin49">'Criteria'!$E$59</definedName>
    <definedName name="WQOMin5.1">'Criteria'!$E$13</definedName>
    <definedName name="WQOMin5.2">'Criteria'!$E$14</definedName>
    <definedName name="WQOMin50">'Criteria'!$E$60</definedName>
    <definedName name="WQOMin51">'Criteria'!$E$61</definedName>
    <definedName name="WQOMin52">'Criteria'!$E$62</definedName>
    <definedName name="WQOMin53">'Criteria'!$E$63</definedName>
    <definedName name="WQOMin54">'Criteria'!$E$64</definedName>
    <definedName name="WQOMin55">'Criteria'!$E$65</definedName>
    <definedName name="WQOMin56">'Criteria'!$E$66</definedName>
    <definedName name="WQOMin57">'Criteria'!$E$67</definedName>
    <definedName name="WQOMin58">'Criteria'!$E$68</definedName>
    <definedName name="WQOMin59">'Criteria'!$E$69</definedName>
    <definedName name="WQOMin6">'Criteria'!$E$15</definedName>
    <definedName name="WQOMin60">'Criteria'!$E$70</definedName>
    <definedName name="WQOMin61">'Criteria'!$E$71</definedName>
    <definedName name="WQOMin62">'Criteria'!$E$72</definedName>
    <definedName name="WQOMin63">'Criteria'!$E$73</definedName>
    <definedName name="WQOMin64">'Criteria'!$E$74</definedName>
    <definedName name="WQOMin65">'Criteria'!$E$75</definedName>
    <definedName name="WQOMin66">'Criteria'!$E$76</definedName>
    <definedName name="WQOMin67">'Criteria'!$E$77</definedName>
    <definedName name="WQOMin68">'Criteria'!$E$78</definedName>
    <definedName name="WQOMin69">'Criteria'!$E$79</definedName>
    <definedName name="WQOMin7">'Criteria'!$E$16</definedName>
    <definedName name="WQOMin70">'Criteria'!$E$80</definedName>
    <definedName name="WQOMin71">'Criteria'!$E$81</definedName>
    <definedName name="WQOMin72">'Criteria'!$E$82</definedName>
    <definedName name="WQOMin73">'Criteria'!$E$83</definedName>
    <definedName name="WQOMin74">'Criteria'!$E$84</definedName>
    <definedName name="WQOMin75">'Criteria'!$E$85</definedName>
    <definedName name="WQOMin76">'Criteria'!$E$86</definedName>
    <definedName name="WQOMin77">'Criteria'!$E$87</definedName>
    <definedName name="WQOMin78">'Criteria'!$E$88</definedName>
    <definedName name="WQOMin79">'Criteria'!$E$89</definedName>
    <definedName name="WQOMin8">'Criteria'!$E$17</definedName>
    <definedName name="WQOMin80">'Criteria'!$E$90</definedName>
    <definedName name="WQOMin81">'Criteria'!$E$91</definedName>
    <definedName name="WQOMin82">'Criteria'!$E$92</definedName>
    <definedName name="WQOMin83">'Criteria'!$E$93</definedName>
    <definedName name="WQOMin84">'Criteria'!$E$94</definedName>
    <definedName name="WQOMin85">'Criteria'!$E$95</definedName>
    <definedName name="WQOMin86">'Criteria'!$E$96</definedName>
    <definedName name="WQOMin87">'Criteria'!$E$97</definedName>
    <definedName name="WQOMin88">'Criteria'!$E$98</definedName>
    <definedName name="WQOMin89">'Criteria'!$E$99</definedName>
    <definedName name="WQOMin9">'Criteria'!$E$18</definedName>
    <definedName name="WQOMin90">'Criteria'!$E$100</definedName>
    <definedName name="WQOMin91">'Criteria'!$E$101</definedName>
    <definedName name="WQOMin92">'Criteria'!$E$102</definedName>
    <definedName name="WQOMin93">'Criteria'!$E$103</definedName>
    <definedName name="WQOMin94">'Criteria'!$E$104</definedName>
    <definedName name="WQOMin95">'Criteria'!$E$105</definedName>
    <definedName name="WQOMin96">'Criteria'!$E$106</definedName>
    <definedName name="WQOMin97">'Criteria'!$E$107</definedName>
    <definedName name="WQOMin98">'Criteria'!$E$108</definedName>
    <definedName name="WQOMin99">'Criteria'!$E$109</definedName>
    <definedName name="zDateBeginData">'Input'!$B$6</definedName>
    <definedName name="zDateEndData">'Input'!$B$7</definedName>
    <definedName name="zDilution">'Input'!$B$15</definedName>
    <definedName name="zFacilityName">'Input'!$B$3</definedName>
    <definedName name="zHardness">'Input'!$B$9</definedName>
    <definedName name="zInputErrorCount">'Input'!$E$16</definedName>
    <definedName name="zMessages">'Input'!$A$26</definedName>
    <definedName name="zOrderNumber">'Input'!$B$4</definedName>
    <definedName name="zpH">'Input'!$B$10</definedName>
    <definedName name="zSal">'Input'!$F$25:$G$27</definedName>
    <definedName name="zSalinity">'Input'!$F$25</definedName>
    <definedName name="zSSOExist">'Input'!#REF!</definedName>
    <definedName name="zSSORegion">'Input'!$F$29</definedName>
    <definedName name="zSumChemTable">'SumChem'!$O$2</definedName>
    <definedName name="zTranslatorExist">'Input'!$B$12</definedName>
  </definedNames>
  <calcPr fullCalcOnLoad="1"/>
</workbook>
</file>

<file path=xl/comments1.xml><?xml version="1.0" encoding="utf-8"?>
<comments xmlns="http://schemas.openxmlformats.org/spreadsheetml/2006/main">
  <authors>
    <author>Daniel Leva</author>
  </authors>
  <commentList>
    <comment ref="A15" authorId="0">
      <text>
        <r>
          <rPr>
            <b/>
            <sz val="10"/>
            <rFont val="Tahoma"/>
            <family val="2"/>
          </rPr>
          <t>Dilution Factor</t>
        </r>
        <r>
          <rPr>
            <sz val="10"/>
            <rFont val="Tahoma"/>
            <family val="2"/>
          </rPr>
          <t xml:space="preserve"> is defined as…  It is the Board's general practice to not use dilution factor above 9, even with outfalls that have diffusers designed for dilution greater than 9.  This is to account for the uncertainties associated with tidal mixing in the Bay, and to offset the Board's practice to also use the Central Bay station, which is less restrictive than the Delta stations, for background concentrations.  
Note, for bioaccumulative substances, the program will set the dilution factor to zero, in the "WQBEL" spreadsheet.  
</t>
        </r>
      </text>
    </comment>
    <comment ref="A9" authorId="0">
      <text>
        <r>
          <rPr>
            <sz val="10"/>
            <rFont val="Tahoma"/>
            <family val="2"/>
          </rPr>
          <t xml:space="preserve">Hardness is defined as calcium carbonate. It  affects the water qualtiy criteria for most metals listed in the "Criteria" spreadsheet:  cadmium, chromium(III), copper, lead, nickel, silver, and zinc. 
</t>
        </r>
        <r>
          <rPr>
            <b/>
            <sz val="10"/>
            <rFont val="Tahoma"/>
            <family val="2"/>
          </rPr>
          <t>Value Selection:</t>
        </r>
        <r>
          <rPr>
            <sz val="10"/>
            <rFont val="Tahoma"/>
            <family val="2"/>
          </rPr>
          <t xml:space="preserve">  When little hardness data exists, the Water Board staff's practice is generally to select the lowest hardness to be protective of the environment.  When significant hardness data is available, we currently do not have any hard rules to follow (e.g., which hardness percentile to use), and the permit writer must use their judgement.  
</t>
        </r>
        <r>
          <rPr>
            <b/>
            <sz val="10"/>
            <rFont val="Tahoma"/>
            <family val="2"/>
          </rPr>
          <t>Upper Limit:</t>
        </r>
        <r>
          <rPr>
            <sz val="10"/>
            <rFont val="Tahoma"/>
            <family val="2"/>
          </rPr>
          <t xml:space="preserve">  Note, based on advice in CTR…, it is Water Board's practice to not use hardness values above 400 mg/L.  This is because most of the toxicity tests used to determine water quality criteria, did not test water with hardness above 400 mg/L, and so the equations may not be applicable above 400 mg/L.  
</t>
        </r>
      </text>
    </comment>
    <comment ref="A10" authorId="0">
      <text>
        <r>
          <rPr>
            <sz val="10"/>
            <rFont val="Tahoma"/>
            <family val="2"/>
          </rPr>
          <t xml:space="preserve">pH can influence the water quality criteria.  Currently, only pentachlorophenol is a function of pH.  
</t>
        </r>
      </text>
    </comment>
    <comment ref="A11" authorId="0">
      <text>
        <r>
          <rPr>
            <sz val="10"/>
            <rFont val="Tahoma"/>
            <family val="2"/>
          </rPr>
          <t xml:space="preserve">The water quality criteria can be strongly affected by the salinity classification of the receiving water. There are three possible salinity classifications:  freshwater, saltwater, and estuarine.  The Basin Plan and CTR define these classifications as:  
     Based on your selection, the program will use the appropriate set of water quality criteria from the spreadsheet "Criteria".  </t>
        </r>
      </text>
    </comment>
    <comment ref="A3" authorId="0">
      <text>
        <r>
          <rPr>
            <sz val="10"/>
            <rFont val="Tahoma"/>
            <family val="2"/>
          </rPr>
          <t xml:space="preserve">The Facility Name will appear on the right side of the header of each worksheet.  
</t>
        </r>
      </text>
    </comment>
    <comment ref="A12" authorId="0">
      <text>
        <r>
          <rPr>
            <b/>
            <sz val="10"/>
            <rFont val="Tahoma"/>
            <family val="2"/>
          </rPr>
          <t>Definition of Translator:</t>
        </r>
        <r>
          <rPr>
            <sz val="10"/>
            <rFont val="Tahoma"/>
            <family val="2"/>
          </rPr>
          <t xml:space="preserve">  A translator is the ratio between the dissolved metal concentration and the total recoverable metal concentration, in the receiving water.  It is used to convert a water quality criteria expressed as dissolved concentration, to total recoverable metal, for effluent limit calculations (effluent limits are expressed as total concentration).   
</t>
        </r>
        <r>
          <rPr>
            <b/>
            <sz val="10"/>
            <rFont val="Tahoma"/>
            <family val="2"/>
          </rPr>
          <t>Using Site-Specific Translators:</t>
        </r>
        <r>
          <rPr>
            <sz val="10"/>
            <rFont val="Tahoma"/>
            <family val="2"/>
          </rPr>
          <t xml:space="preserve">  Site-specific translators may be used if a study, approved by the Executive Office, has justified their use for the specific receiving water near discharge point.  </t>
        </r>
        <r>
          <rPr>
            <sz val="10"/>
            <color indexed="53"/>
            <rFont val="Tahoma"/>
            <family val="2"/>
          </rPr>
          <t>To use site-specific translators, answer this question with "Y", and be sure to input the values in columns AH and AI of the "Criteria" spreadsheet.</t>
        </r>
        <r>
          <rPr>
            <sz val="10"/>
            <rFont val="Tahoma"/>
            <family val="2"/>
          </rPr>
          <t xml:space="preserve">  The workbook will automatically select those values over the CTR default translators ("conversion factors").  </t>
        </r>
        <r>
          <rPr>
            <sz val="10"/>
            <color indexed="53"/>
            <rFont val="Tahoma"/>
            <family val="2"/>
          </rPr>
          <t>If there are no site-specific translators, answer this question with "N", and the workbook will disable the use of any values listed in spreadsheet.  Although not necessary, to avoid confusion, it also is a good idea to keep columns AH and AI empty, when there are no translators.</t>
        </r>
        <r>
          <rPr>
            <sz val="10"/>
            <rFont val="Tahoma"/>
            <family val="2"/>
          </rPr>
          <t xml:space="preserve">  
</t>
        </r>
      </text>
    </comment>
    <comment ref="A6" authorId="0">
      <text>
        <r>
          <rPr>
            <b/>
            <sz val="10"/>
            <rFont val="Tahoma"/>
            <family val="2"/>
          </rPr>
          <t>Definition of Date:</t>
        </r>
        <r>
          <rPr>
            <sz val="10"/>
            <rFont val="Tahoma"/>
            <family val="2"/>
          </rPr>
          <t xml:space="preserve">  The beginning and ending dates specify what period to use effluent concentration data (entered in spreadsheet "EffData") for the RPA.  Leave cell empty if you wish to use all available data in "EffData".  
</t>
        </r>
        <r>
          <rPr>
            <b/>
            <sz val="10"/>
            <rFont val="Tahoma"/>
            <family val="2"/>
          </rPr>
          <t>Guideline for Date Selection:</t>
        </r>
        <r>
          <rPr>
            <sz val="10"/>
            <rFont val="Tahoma"/>
            <family val="2"/>
          </rPr>
          <t xml:space="preserve">  The general practice of Water Board is to use the last three years of data for monthly measurements, and last five years of data for quarterly measurements.  Because the RPA can be strongly affected by the amount of data used, choosing the time range is important. Special circumstances may suggest changes to this practice.
</t>
        </r>
        <r>
          <rPr>
            <b/>
            <sz val="10"/>
            <rFont val="Tahoma"/>
            <family val="2"/>
          </rPr>
          <t>Note:</t>
        </r>
        <r>
          <rPr>
            <sz val="10"/>
            <rFont val="Tahoma"/>
            <family val="2"/>
          </rPr>
          <t xml:space="preserve">  The program will use all available data from the sheet "EffData", when determining the coefficient of variation for those pollutants that demonstrate reasonable potential (in spreadsheet "CV").  This is to ensure there is enough data to statistically characterize the effluent.   To restrict the period of data for this calculation, you will need to remove data in "EffData".</t>
        </r>
      </text>
    </comment>
    <comment ref="A13" authorId="0">
      <text>
        <r>
          <rPr>
            <b/>
            <sz val="10"/>
            <rFont val="Tahoma"/>
            <family val="2"/>
          </rPr>
          <t>Definition of Site-Specific Objective (SSO):</t>
        </r>
        <r>
          <rPr>
            <sz val="10"/>
            <rFont val="Tahoma"/>
            <family val="2"/>
          </rPr>
          <t xml:space="preserve">  A SSO is a water quality objective adopted in Basin Plan, specifically for a particular receiving water or region of water bodies.  They supercede the general water quality criteria (WQC) in the Basin Plan and CTR.  
</t>
        </r>
        <r>
          <rPr>
            <b/>
            <sz val="10"/>
            <rFont val="Tahoma"/>
            <family val="2"/>
          </rPr>
          <t xml:space="preserve">
Using SSO's:</t>
        </r>
        <r>
          <rPr>
            <sz val="10"/>
            <rFont val="Tahoma"/>
            <family val="2"/>
          </rPr>
          <t xml:space="preserve">  If there are no SSOs for the receiving water, select "None".  Otherwise, select the SSO region from the list.  The workbook will automatically select SSOs from the region you specified, over other Basin Plan and CTR default WQC.  All SSOs in Basin Plan should already be entered in the SSO table starting at column "AE" of the spreadhseet "Criteria". 
</t>
        </r>
        <r>
          <rPr>
            <b/>
            <sz val="10"/>
            <rFont val="Tahoma"/>
            <family val="2"/>
          </rPr>
          <t>Two Regions for Site-Specific Objectives (SSO):</t>
        </r>
        <r>
          <rPr>
            <sz val="10"/>
            <rFont val="Tahoma"/>
            <family val="2"/>
          </rPr>
          <t xml:space="preserve">  There currently are only two regions defined for SSOs:  South Dumbarton Bridge (SDB), and North Dumbarton Bridge (SDB).  However, only SDB has SSOs (copper and nickel) adopted in the Basin Plan -  copper and nickel SSO's for NDB are in development and should be adopted in 2006 or 2007.     
</t>
        </r>
        <r>
          <rPr>
            <b/>
            <sz val="10"/>
            <rFont val="Tahoma"/>
            <family val="2"/>
          </rPr>
          <t xml:space="preserve">
Adding New SSO's to Workbook:</t>
        </r>
        <r>
          <rPr>
            <sz val="10"/>
            <rFont val="Tahoma"/>
            <family val="2"/>
          </rPr>
          <t xml:space="preserve">  If a new SSO is adopted not in this workbook, you will need to add its value to the SSO table beginning at column "AE" of spreasheet "Criteria".  If a new SSO is adopted, that applies to a new region not defined here, you will need to:    
1) add new columns for this region, to SSO table (at column AE) in spreadsheet "Criteria" 
2) update formulas in columns "H" and "I", so they refer to new region
3) add new region to the Combo Box list just to the right of this question (right click Combo Box, and update "input range"...)</t>
        </r>
      </text>
    </comment>
    <comment ref="A7" authorId="0">
      <text>
        <r>
          <rPr>
            <b/>
            <sz val="10"/>
            <rFont val="Tahoma"/>
            <family val="2"/>
          </rPr>
          <t>Definition of Date:</t>
        </r>
        <r>
          <rPr>
            <sz val="10"/>
            <rFont val="Tahoma"/>
            <family val="2"/>
          </rPr>
          <t xml:space="preserve">  The beginning and ending dates specify what period to use effluent concentration data (entered in spreadsheet "EffData") for the RPA.  Leave cell empty if you wish to use all available data in "EffData".  
</t>
        </r>
        <r>
          <rPr>
            <b/>
            <sz val="10"/>
            <rFont val="Tahoma"/>
            <family val="2"/>
          </rPr>
          <t>Guideline for Date Selection:</t>
        </r>
        <r>
          <rPr>
            <sz val="10"/>
            <rFont val="Tahoma"/>
            <family val="2"/>
          </rPr>
          <t xml:space="preserve">  The general practice of Water Board is to use the last three years of data for monthly measurements, and last five years of data for quarterly measurements.  Because the RPA can be strongly affected by the amount of data used, choosing the time range is important. Special circumstances may suggest changes to this practice.
</t>
        </r>
        <r>
          <rPr>
            <b/>
            <sz val="10"/>
            <rFont val="Tahoma"/>
            <family val="2"/>
          </rPr>
          <t>Note:</t>
        </r>
        <r>
          <rPr>
            <sz val="10"/>
            <rFont val="Tahoma"/>
            <family val="2"/>
          </rPr>
          <t xml:space="preserve">  The program will use all available data from the sheet "EffData", when determining the coefficient of variation for those pollutants that demonstrate reasonable potential (in spreadsheet "CV").  This is to ensure there is enough data to statistically characterize the effluent.   To restrict the period of data for this calculation, you will need to remove data in "EffData".</t>
        </r>
      </text>
    </comment>
  </commentList>
</comments>
</file>

<file path=xl/comments3.xml><?xml version="1.0" encoding="utf-8"?>
<comments xmlns="http://schemas.openxmlformats.org/spreadsheetml/2006/main">
  <authors>
    <author>Dr. Indra N. Mitra</author>
    <author>laducan</author>
    <author>Scott Keen</author>
    <author>tong</author>
    <author>Daniel Leva</author>
    <author>dleva</author>
  </authors>
  <commentList>
    <comment ref="W6" authorId="0">
      <text>
        <r>
          <rPr>
            <b/>
            <sz val="8"/>
            <rFont val="Tahoma"/>
            <family val="0"/>
          </rPr>
          <t xml:space="preserve">Table 1 of paragraph b(2) - page 31717 of CTR </t>
        </r>
        <r>
          <rPr>
            <sz val="8"/>
            <rFont val="Tahoma"/>
            <family val="0"/>
          </rPr>
          <t xml:space="preserve">
</t>
        </r>
      </text>
    </comment>
    <comment ref="AA6" authorId="0">
      <text>
        <r>
          <rPr>
            <b/>
            <sz val="8"/>
            <rFont val="Tahoma"/>
            <family val="0"/>
          </rPr>
          <t xml:space="preserve">Table 2 of paragraph b(2) - page 31717 of CTR </t>
        </r>
        <r>
          <rPr>
            <sz val="8"/>
            <rFont val="Tahoma"/>
            <family val="0"/>
          </rPr>
          <t xml:space="preserve">
</t>
        </r>
      </text>
    </comment>
    <comment ref="R12" authorId="0">
      <text>
        <r>
          <rPr>
            <sz val="8"/>
            <rFont val="Tahoma"/>
            <family val="2"/>
          </rPr>
          <t>used eq in paragraph b(2) - page 31717 of CTR</t>
        </r>
        <r>
          <rPr>
            <sz val="8"/>
            <rFont val="Tahoma"/>
            <family val="0"/>
          </rPr>
          <t xml:space="preserve">
</t>
        </r>
      </text>
    </comment>
    <comment ref="W12" authorId="1">
      <text>
        <r>
          <rPr>
            <sz val="8"/>
            <rFont val="Tahoma"/>
            <family val="0"/>
          </rPr>
          <t>These reflect the values in the CTR, not the revised Cd criteria/factors published in April 2000.</t>
        </r>
      </text>
    </comment>
    <comment ref="AA12" authorId="0">
      <text>
        <r>
          <rPr>
            <sz val="8"/>
            <rFont val="Tahoma"/>
            <family val="2"/>
          </rPr>
          <t>used eq in Table 3 of paragraph (b)(2)- page 31717 of CTR</t>
        </r>
        <r>
          <rPr>
            <sz val="8"/>
            <rFont val="Tahoma"/>
            <family val="0"/>
          </rPr>
          <t xml:space="preserve">
</t>
        </r>
      </text>
    </comment>
    <comment ref="AB12" authorId="0">
      <text>
        <r>
          <rPr>
            <sz val="8"/>
            <rFont val="Tahoma"/>
            <family val="2"/>
          </rPr>
          <t>used eq in Table 3 of paragraph (b)(2)- page 31717 of CTR</t>
        </r>
        <r>
          <rPr>
            <sz val="8"/>
            <rFont val="Tahoma"/>
            <family val="0"/>
          </rPr>
          <t xml:space="preserve">
</t>
        </r>
      </text>
    </comment>
    <comment ref="R13" authorId="0">
      <text>
        <r>
          <rPr>
            <sz val="8"/>
            <rFont val="Tahoma"/>
            <family val="2"/>
          </rPr>
          <t>used eq in paragraph b(2) - page 31717 of CTR</t>
        </r>
        <r>
          <rPr>
            <sz val="8"/>
            <rFont val="Tahoma"/>
            <family val="0"/>
          </rPr>
          <t xml:space="preserve">
</t>
        </r>
      </text>
    </comment>
    <comment ref="R15" authorId="0">
      <text>
        <r>
          <rPr>
            <sz val="8"/>
            <rFont val="Tahoma"/>
            <family val="2"/>
          </rPr>
          <t>used eq in paragraph b(2) - page 31717 of CTR</t>
        </r>
        <r>
          <rPr>
            <sz val="8"/>
            <rFont val="Tahoma"/>
            <family val="0"/>
          </rPr>
          <t xml:space="preserve">
</t>
        </r>
      </text>
    </comment>
    <comment ref="R16" authorId="0">
      <text>
        <r>
          <rPr>
            <sz val="8"/>
            <rFont val="Tahoma"/>
            <family val="2"/>
          </rPr>
          <t>used eq in paragraph b(2) - page 31717 of CTR</t>
        </r>
        <r>
          <rPr>
            <sz val="8"/>
            <rFont val="Tahoma"/>
            <family val="0"/>
          </rPr>
          <t xml:space="preserve">
</t>
        </r>
      </text>
    </comment>
    <comment ref="AA16" authorId="0">
      <text>
        <r>
          <rPr>
            <sz val="8"/>
            <rFont val="Tahoma"/>
            <family val="2"/>
          </rPr>
          <t>used eq in Table 3 of paragraph (b)(2)- page 31717 of CTR</t>
        </r>
      </text>
    </comment>
    <comment ref="AB16" authorId="0">
      <text>
        <r>
          <rPr>
            <sz val="8"/>
            <rFont val="Tahoma"/>
            <family val="2"/>
          </rPr>
          <t>used eq in Table 3 of paragraph (b)(2)- page 31717 of CTR</t>
        </r>
      </text>
    </comment>
    <comment ref="R18" authorId="0">
      <text>
        <r>
          <rPr>
            <sz val="8"/>
            <rFont val="Tahoma"/>
            <family val="2"/>
          </rPr>
          <t>used eq in paragraph b(2) - page 31717 of CTR</t>
        </r>
        <r>
          <rPr>
            <sz val="8"/>
            <rFont val="Tahoma"/>
            <family val="0"/>
          </rPr>
          <t xml:space="preserve">
</t>
        </r>
      </text>
    </comment>
    <comment ref="Q63" authorId="0">
      <text>
        <r>
          <rPr>
            <sz val="8"/>
            <rFont val="Tahoma"/>
            <family val="2"/>
          </rPr>
          <t xml:space="preserve">see footnote 'f' </t>
        </r>
        <r>
          <rPr>
            <sz val="8"/>
            <rFont val="Tahoma"/>
            <family val="0"/>
          </rPr>
          <t xml:space="preserve">
</t>
        </r>
      </text>
    </comment>
    <comment ref="R63" authorId="0">
      <text>
        <r>
          <rPr>
            <sz val="8"/>
            <rFont val="Tahoma"/>
            <family val="2"/>
          </rPr>
          <t xml:space="preserve">see footnote 'f' </t>
        </r>
        <r>
          <rPr>
            <sz val="8"/>
            <rFont val="Tahoma"/>
            <family val="0"/>
          </rPr>
          <t xml:space="preserve">
</t>
        </r>
      </text>
    </comment>
    <comment ref="Q12" authorId="0">
      <text>
        <r>
          <rPr>
            <sz val="8"/>
            <rFont val="Tahoma"/>
            <family val="2"/>
          </rPr>
          <t>used eq in paragraph b(2) - page 31717 of CTR</t>
        </r>
        <r>
          <rPr>
            <sz val="8"/>
            <rFont val="Tahoma"/>
            <family val="0"/>
          </rPr>
          <t xml:space="preserve">
</t>
        </r>
      </text>
    </comment>
    <comment ref="Q13" authorId="0">
      <text>
        <r>
          <rPr>
            <sz val="8"/>
            <rFont val="Tahoma"/>
            <family val="2"/>
          </rPr>
          <t>used eq in paragraph b(2) - page 31717 of CTR</t>
        </r>
        <r>
          <rPr>
            <sz val="8"/>
            <rFont val="Tahoma"/>
            <family val="0"/>
          </rPr>
          <t xml:space="preserve">
</t>
        </r>
      </text>
    </comment>
    <comment ref="Q15" authorId="0">
      <text>
        <r>
          <rPr>
            <sz val="8"/>
            <rFont val="Tahoma"/>
            <family val="2"/>
          </rPr>
          <t xml:space="preserve">used eq in paragraph b(2) - page 31717 of CTR
</t>
        </r>
      </text>
    </comment>
    <comment ref="Q16" authorId="0">
      <text>
        <r>
          <rPr>
            <sz val="8"/>
            <rFont val="Tahoma"/>
            <family val="2"/>
          </rPr>
          <t>used eq in paragraph b(2) - page 31717 of CTR</t>
        </r>
        <r>
          <rPr>
            <sz val="8"/>
            <rFont val="Tahoma"/>
            <family val="0"/>
          </rPr>
          <t xml:space="preserve">
</t>
        </r>
      </text>
    </comment>
    <comment ref="Q18" authorId="0">
      <text>
        <r>
          <rPr>
            <sz val="8"/>
            <rFont val="Tahoma"/>
            <family val="2"/>
          </rPr>
          <t>used eq in paragraph b(2) - page 31717 of CTR</t>
        </r>
        <r>
          <rPr>
            <sz val="8"/>
            <rFont val="Tahoma"/>
            <family val="0"/>
          </rPr>
          <t xml:space="preserve">
</t>
        </r>
      </text>
    </comment>
    <comment ref="Q19" authorId="0">
      <text>
        <r>
          <rPr>
            <sz val="8"/>
            <rFont val="Tahoma"/>
            <family val="2"/>
          </rPr>
          <t>see footnote 'p'</t>
        </r>
        <r>
          <rPr>
            <sz val="8"/>
            <rFont val="Tahoma"/>
            <family val="0"/>
          </rPr>
          <t xml:space="preserve">
</t>
        </r>
      </text>
    </comment>
    <comment ref="S6" authorId="2">
      <text>
        <r>
          <rPr>
            <b/>
            <sz val="8"/>
            <rFont val="Tahoma"/>
            <family val="0"/>
          </rPr>
          <t>Scott Keen:</t>
        </r>
        <r>
          <rPr>
            <sz val="8"/>
            <rFont val="Tahoma"/>
            <family val="0"/>
          </rPr>
          <t xml:space="preserve">
expressed as total recoverable metal</t>
        </r>
      </text>
    </comment>
    <comment ref="Q6" authorId="2">
      <text>
        <r>
          <rPr>
            <sz val="8"/>
            <rFont val="Tahoma"/>
            <family val="0"/>
          </rPr>
          <t xml:space="preserve">Expressed as total recoverable metal.  (Note, the exponential equations for metals WQC, are already expressed as total concentration, and so do not need to be converted from dissolved concentration.) </t>
        </r>
      </text>
    </comment>
    <comment ref="E132" authorId="3">
      <text>
        <r>
          <rPr>
            <b/>
            <sz val="8"/>
            <rFont val="Tahoma"/>
            <family val="0"/>
          </rPr>
          <t>0.005 in SJSC RPA, needs to check</t>
        </r>
        <r>
          <rPr>
            <sz val="8"/>
            <rFont val="Tahoma"/>
            <family val="0"/>
          </rPr>
          <t xml:space="preserve">
</t>
        </r>
      </text>
    </comment>
    <comment ref="Q20" authorId="0">
      <text>
        <r>
          <rPr>
            <b/>
            <sz val="8"/>
            <rFont val="Tahoma"/>
            <family val="0"/>
          </rPr>
          <t>used eq in paragraph b(2) - page 31717 of CTR</t>
        </r>
        <r>
          <rPr>
            <sz val="8"/>
            <rFont val="Tahoma"/>
            <family val="0"/>
          </rPr>
          <t xml:space="preserve">
</t>
        </r>
      </text>
    </comment>
    <comment ref="Q22" authorId="0">
      <text>
        <r>
          <rPr>
            <sz val="8"/>
            <rFont val="Tahoma"/>
            <family val="2"/>
          </rPr>
          <t>used eq in paragraph b(2) - page 31717 of CTR</t>
        </r>
        <r>
          <rPr>
            <sz val="8"/>
            <rFont val="Tahoma"/>
            <family val="0"/>
          </rPr>
          <t xml:space="preserve">
</t>
        </r>
      </text>
    </comment>
    <comment ref="R22" authorId="0">
      <text>
        <r>
          <rPr>
            <sz val="8"/>
            <rFont val="Tahoma"/>
            <family val="2"/>
          </rPr>
          <t>used eq in paragraph b(2) - page 31717 of CTR</t>
        </r>
        <r>
          <rPr>
            <sz val="8"/>
            <rFont val="Tahoma"/>
            <family val="0"/>
          </rPr>
          <t xml:space="preserve">
</t>
        </r>
      </text>
    </comment>
    <comment ref="O132" authorId="1">
      <text>
        <r>
          <rPr>
            <sz val="8"/>
            <rFont val="Tahoma"/>
            <family val="0"/>
          </rPr>
          <t xml:space="preserve">It is an EPA revised criteria (sw). For details, see email from RB2 (LR).
</t>
        </r>
      </text>
    </comment>
    <comment ref="AL6" authorId="4">
      <text>
        <r>
          <rPr>
            <b/>
            <sz val="8"/>
            <rFont val="Tahoma"/>
            <family val="0"/>
          </rPr>
          <t xml:space="preserve">To add site-specific objectives for another water body region, you must define a unique name for the region (e.g., "South Dumbarton Bridge"), and enter this into Combo List Box attached to the cell named "zSSORegion", in spreadsheet "Input".  
    Next, enter data into the below columns and then revise equations in columns I and J, to refer to the new region's SSOs.  
    </t>
        </r>
      </text>
    </comment>
    <comment ref="AE6" authorId="4">
      <text>
        <r>
          <rPr>
            <sz val="8"/>
            <rFont val="Tahoma"/>
            <family val="0"/>
          </rPr>
          <t xml:space="preserve">Only site-specific translators applicable to the discharger's receiving water should be entered here.  If there are none, these columns should be empty.  
     Once a number is entered in this column, the translators will automatically be used in the CTR equations, in place of the default CTR conversion factors. 
</t>
        </r>
      </text>
    </comment>
    <comment ref="P26" authorId="4">
      <text>
        <r>
          <rPr>
            <sz val="10"/>
            <rFont val="Tahoma"/>
            <family val="2"/>
          </rPr>
          <t xml:space="preserve">The Basin Plan applies the CTR human health criterion for 2,3,7,8-TCDD to Dioxin-TEQ.   Although based on a CTR value, the water quality objective for Dioxin-TEQ is considered a Basin Plan value (and so any compliance schedule for Dioxin-TEQ should follow Basin Plan requirements).  </t>
        </r>
        <r>
          <rPr>
            <sz val="8"/>
            <rFont val="Tahoma"/>
            <family val="0"/>
          </rPr>
          <t xml:space="preserve">
</t>
        </r>
      </text>
    </comment>
    <comment ref="AE15" authorId="2">
      <text>
        <r>
          <rPr>
            <b/>
            <sz val="8"/>
            <rFont val="Tahoma"/>
            <family val="0"/>
          </rPr>
          <t>Scott Keen: based on recommendations from the Clean Estuary Institute's "North of Dumbarton Bridge Copper and Nickel Development and Selection of Final Translators" (2005).</t>
        </r>
        <r>
          <rPr>
            <sz val="8"/>
            <rFont val="Tahoma"/>
            <family val="0"/>
          </rPr>
          <t xml:space="preserve">
</t>
        </r>
      </text>
    </comment>
    <comment ref="AF15" authorId="2">
      <text>
        <r>
          <rPr>
            <b/>
            <sz val="8"/>
            <rFont val="Tahoma"/>
            <family val="0"/>
          </rPr>
          <t>Scott Keen: based on recommendations from the Clean Estuary Institute's "North of Dumbarton Bridge Copper and Nickel Development and Selection of Final Translators" (2005).</t>
        </r>
        <r>
          <rPr>
            <sz val="8"/>
            <rFont val="Tahoma"/>
            <family val="0"/>
          </rPr>
          <t xml:space="preserve">
</t>
        </r>
      </text>
    </comment>
    <comment ref="AE18" authorId="2">
      <text>
        <r>
          <rPr>
            <b/>
            <sz val="8"/>
            <rFont val="Tahoma"/>
            <family val="0"/>
          </rPr>
          <t>Scott Keen: based on recommendations from the Clean Estuary Institute's "North of Dumbarton Bridge Copper and Nickel Development and Selection of Final Translators" (2005).</t>
        </r>
        <r>
          <rPr>
            <sz val="8"/>
            <rFont val="Tahoma"/>
            <family val="0"/>
          </rPr>
          <t xml:space="preserve">
</t>
        </r>
      </text>
    </comment>
    <comment ref="AF18" authorId="2">
      <text>
        <r>
          <rPr>
            <b/>
            <sz val="8"/>
            <rFont val="Tahoma"/>
            <family val="0"/>
          </rPr>
          <t>Scott Keen: based on recommendations from the Clean Estuary Institute's "North of Dumbarton Bridge Copper and Nickel Development and Selection of Final Translators" (2005).</t>
        </r>
        <r>
          <rPr>
            <sz val="8"/>
            <rFont val="Tahoma"/>
            <family val="0"/>
          </rPr>
          <t xml:space="preserve">
</t>
        </r>
      </text>
    </comment>
    <comment ref="A132" authorId="4">
      <text>
        <r>
          <rPr>
            <sz val="10"/>
            <rFont val="Tahoma"/>
            <family val="2"/>
          </rPr>
          <t xml:space="preserve">The WQO for Tributyltin is from the Basin Plan, and here  is assigned a fictitious CTR# of 1000.  For the program to do RPA for Tributyltin, the effluent concentration data in sheet 'EffData' must also have a CTR# of 1001.  </t>
        </r>
        <r>
          <rPr>
            <sz val="9"/>
            <rFont val="Tahoma"/>
            <family val="2"/>
          </rPr>
          <t xml:space="preserve">
</t>
        </r>
      </text>
    </comment>
    <comment ref="A133" authorId="4">
      <text>
        <r>
          <rPr>
            <sz val="10"/>
            <rFont val="Tahoma"/>
            <family val="2"/>
          </rPr>
          <t xml:space="preserve">The WQO for Total PAH is from the Basin Plan, and here is assigned a fictitious CTR# of 1003.  Note, for the program to do RPA for Total PAH, Total PAH data in sheet 'EffData' must also have a CTR # of 1002.
</t>
        </r>
      </text>
    </comment>
    <comment ref="F19" authorId="4">
      <text>
        <r>
          <rPr>
            <sz val="8"/>
            <rFont val="Tahoma"/>
            <family val="0"/>
          </rPr>
          <t xml:space="preserve">Because the CTR WQC for selenium is based on the National Toxic Rule (NTR), we assume its basis is NTR (and not the CTR).  This affects the compliance schedule requirements...
</t>
        </r>
      </text>
    </comment>
    <comment ref="F23" authorId="4">
      <text>
        <r>
          <rPr>
            <sz val="8"/>
            <rFont val="Tahoma"/>
            <family val="0"/>
          </rPr>
          <t xml:space="preserve">Because the CTR WQC for cyanide is based on the National Toxic Rule (NTR), we assume its basis is NTR (and not the CTR).  This affects the compliance schedule requirements...
</t>
        </r>
      </text>
    </comment>
    <comment ref="B129" authorId="4">
      <text>
        <r>
          <rPr>
            <sz val="10"/>
            <rFont val="Tahoma"/>
            <family val="2"/>
          </rPr>
          <t xml:space="preserve">RPA is not conducted for individual PCB's (with CTR #'s from 119 to 125), because  they are superceded by the more stringent CTR WQC for PCB_sum.  See CTR# 125.5.
</t>
        </r>
      </text>
    </comment>
    <comment ref="L5" authorId="5">
      <text>
        <r>
          <rPr>
            <sz val="9"/>
            <rFont val="Tahoma"/>
            <family val="2"/>
          </rPr>
          <t xml:space="preserve">Per the Basin Plan, Tables 3-3 and 3-4 apply to all waters except for South of Dumbarton Bridge.  For these northern areas, the applicable water criteria will be the lowest among the Basin Plan and CTR criteria.
For South of Dumbarton Bridge, either the CTR or SSO water quality criteria are used.
</t>
        </r>
      </text>
    </comment>
    <comment ref="B130" authorId="5">
      <text>
        <r>
          <rPr>
            <sz val="8"/>
            <rFont val="Tahoma"/>
            <family val="2"/>
          </rPr>
          <t xml:space="preserve">The WQC for PCB_Sum is based on the </t>
        </r>
        <r>
          <rPr>
            <sz val="10"/>
            <rFont val="Tahoma"/>
            <family val="2"/>
          </rPr>
          <t xml:space="preserve">summation of 7 arochlors (1242, 1254, 1221, 1232, 1248, 1260, 1016). This is a CTR Human Helath criterion based on footnotes u and v.
PCB_Sum is assigned a CTR # of 125.5, since 119 to 125 are used for the individual PCB's (arochlors).
</t>
        </r>
      </text>
    </comment>
    <comment ref="B26" authorId="5">
      <text>
        <r>
          <rPr>
            <sz val="10"/>
            <rFont val="Tahoma"/>
            <family val="2"/>
          </rPr>
          <t>Although the CTR# 16 normally would apply to 2,3,7,8-TCDD, we are using this number for Dioxin-TEQ (a Basin Plan WQO), because this applies to summation of all congeners, including 2,3,7,8-TCDD, and so is more stringent than 2,3,7,8-TCDD.</t>
        </r>
        <r>
          <rPr>
            <sz val="8"/>
            <rFont val="Tahoma"/>
            <family val="0"/>
          </rPr>
          <t xml:space="preserve">
</t>
        </r>
      </text>
    </comment>
    <comment ref="P25" authorId="4">
      <text>
        <r>
          <rPr>
            <sz val="10"/>
            <rFont val="Tahoma"/>
            <family val="2"/>
          </rPr>
          <t xml:space="preserve">The Basin Plan applies the CTR human health criterion for 2,3,7,8-TCDD to Dioxin-TEQ.   Although based on a CTR value, the water quality objective for Dioxin-TEQ is considered a Basin Plan value (and so any compliance schedule for Dioxin-TEQ should follow Basin Plan requirements).  </t>
        </r>
        <r>
          <rPr>
            <sz val="8"/>
            <rFont val="Tahoma"/>
            <family val="0"/>
          </rPr>
          <t xml:space="preserve">
</t>
        </r>
      </text>
    </comment>
  </commentList>
</comments>
</file>

<file path=xl/comments4.xml><?xml version="1.0" encoding="utf-8"?>
<comments xmlns="http://schemas.openxmlformats.org/spreadsheetml/2006/main">
  <authors>
    <author>Dr. Indra N. Mitra</author>
    <author>Daniel Leva</author>
    <author>dleva</author>
  </authors>
  <commentList>
    <comment ref="L4" authorId="0">
      <text>
        <r>
          <rPr>
            <b/>
            <sz val="8"/>
            <rFont val="Tahoma"/>
            <family val="0"/>
          </rPr>
          <t xml:space="preserve">
Leave blank if no data available.
Per SIP, for Trigger 2, only detected max background is used to check for RP, and not the minimum MDL.  </t>
        </r>
      </text>
    </comment>
    <comment ref="J3" authorId="0">
      <text>
        <r>
          <rPr>
            <b/>
            <sz val="8"/>
            <rFont val="Tahoma"/>
            <family val="0"/>
          </rPr>
          <t>Enter data if it is an "Y" in the 1st column to the left</t>
        </r>
        <r>
          <rPr>
            <sz val="8"/>
            <rFont val="Tahoma"/>
            <family val="0"/>
          </rPr>
          <t xml:space="preserve">
</t>
        </r>
      </text>
    </comment>
    <comment ref="K3" authorId="0">
      <text>
        <r>
          <rPr>
            <b/>
            <sz val="8"/>
            <rFont val="Tahoma"/>
            <family val="0"/>
          </rPr>
          <t>Indra:</t>
        </r>
        <r>
          <rPr>
            <sz val="8"/>
            <rFont val="Tahoma"/>
            <family val="0"/>
          </rPr>
          <t xml:space="preserve">
Enter data only if there is an 'Y' in 1st column to the left</t>
        </r>
      </text>
    </comment>
    <comment ref="I20" authorId="1">
      <text>
        <r>
          <rPr>
            <b/>
            <sz val="8"/>
            <rFont val="Tahoma"/>
            <family val="0"/>
          </rPr>
          <t>Daniel Leva:</t>
        </r>
        <r>
          <rPr>
            <sz val="8"/>
            <rFont val="Tahoma"/>
            <family val="0"/>
          </rPr>
          <t xml:space="preserve">
Per our Aug 6, 2001 13267 letter, asbestos measruements only required if receiving water used for municipal supply.</t>
        </r>
      </text>
    </comment>
    <comment ref="L22" authorId="1">
      <text>
        <r>
          <rPr>
            <b/>
            <sz val="8"/>
            <rFont val="Tahoma"/>
            <family val="0"/>
          </rPr>
          <t>Daniel Leva:</t>
        </r>
        <r>
          <rPr>
            <sz val="8"/>
            <rFont val="Tahoma"/>
            <family val="0"/>
          </rPr>
          <t xml:space="preserve">
TEQ measurement</t>
        </r>
      </text>
    </comment>
    <comment ref="I38" authorId="1">
      <text>
        <r>
          <rPr>
            <b/>
            <sz val="8"/>
            <rFont val="Tahoma"/>
            <family val="0"/>
          </rPr>
          <t>Daniel Leva:</t>
        </r>
        <r>
          <rPr>
            <sz val="8"/>
            <rFont val="Tahoma"/>
            <family val="0"/>
          </rPr>
          <t xml:space="preserve">
No RMP measurements available, so data was taken from Crockett's measruemnts at C-10 receiving water station (4 measurements 2002-2003)</t>
        </r>
      </text>
    </comment>
    <comment ref="I73" authorId="1">
      <text>
        <r>
          <rPr>
            <b/>
            <sz val="8"/>
            <rFont val="Tahoma"/>
            <family val="0"/>
          </rPr>
          <t>Daniel Leva:</t>
        </r>
        <r>
          <rPr>
            <sz val="8"/>
            <rFont val="Tahoma"/>
            <family val="0"/>
          </rPr>
          <t xml:space="preserve">
No RMP measurements available, so data was taken from Crockett's measruemnts at C-10 receiving water station (4 measurements 2002-2003)</t>
        </r>
      </text>
    </comment>
    <comment ref="I122" authorId="1">
      <text>
        <r>
          <rPr>
            <b/>
            <sz val="8"/>
            <rFont val="Tahoma"/>
            <family val="0"/>
          </rPr>
          <t>Daniel Leva:</t>
        </r>
        <r>
          <rPr>
            <sz val="8"/>
            <rFont val="Tahoma"/>
            <family val="0"/>
          </rPr>
          <t xml:space="preserve">
No RMP measurements available, so data was taken from Crockett's measruemnts at C-10 receiving water station (4 measurements 2002-2003)</t>
        </r>
      </text>
    </comment>
    <comment ref="I125" authorId="1">
      <text>
        <r>
          <rPr>
            <b/>
            <sz val="8"/>
            <rFont val="Tahoma"/>
            <family val="0"/>
          </rPr>
          <t>Daniel Leva:</t>
        </r>
        <r>
          <rPr>
            <sz val="8"/>
            <rFont val="Tahoma"/>
            <family val="0"/>
          </rPr>
          <t xml:space="preserve">
Note based on BACWA 2002-2003 monitoring--pending TMDL will assign load allocations</t>
        </r>
      </text>
    </comment>
    <comment ref="K127" authorId="1">
      <text>
        <r>
          <rPr>
            <b/>
            <sz val="8"/>
            <rFont val="Tahoma"/>
            <family val="0"/>
          </rPr>
          <t>Daniel Leva:</t>
        </r>
        <r>
          <rPr>
            <sz val="8"/>
            <rFont val="Tahoma"/>
            <family val="0"/>
          </rPr>
          <t xml:space="preserve">
The minimum MDL is not known since RMP does not publish MDL's for each measurement--just the median MDL for a set of measruements</t>
        </r>
      </text>
    </comment>
    <comment ref="D3" authorId="0">
      <text>
        <r>
          <rPr>
            <b/>
            <sz val="8"/>
            <rFont val="Tahoma"/>
            <family val="0"/>
          </rPr>
          <t>Enter data if it is an "Y" in the 1st column to the left</t>
        </r>
        <r>
          <rPr>
            <sz val="8"/>
            <rFont val="Tahoma"/>
            <family val="0"/>
          </rPr>
          <t xml:space="preserve">
</t>
        </r>
      </text>
    </comment>
    <comment ref="E3" authorId="0">
      <text>
        <r>
          <rPr>
            <b/>
            <sz val="8"/>
            <rFont val="Tahoma"/>
            <family val="0"/>
          </rPr>
          <t>Indra:</t>
        </r>
        <r>
          <rPr>
            <sz val="8"/>
            <rFont val="Tahoma"/>
            <family val="0"/>
          </rPr>
          <t xml:space="preserve">
Enter data only if there is an 'Y' in 1st column to the left</t>
        </r>
      </text>
    </comment>
    <comment ref="F3" authorId="0">
      <text>
        <r>
          <rPr>
            <b/>
            <sz val="8"/>
            <rFont val="Tahoma"/>
            <family val="0"/>
          </rPr>
          <t>Indra:</t>
        </r>
        <r>
          <rPr>
            <sz val="8"/>
            <rFont val="Tahoma"/>
            <family val="0"/>
          </rPr>
          <t xml:space="preserve">
Enter data only if there is 'N' in 2nd column to the left and 'Y' in 3rd column to the left</t>
        </r>
      </text>
    </comment>
    <comment ref="M4" authorId="1">
      <text>
        <r>
          <rPr>
            <b/>
            <sz val="8"/>
            <rFont val="Tahoma"/>
            <family val="2"/>
          </rPr>
          <t xml:space="preserve">
</t>
        </r>
        <r>
          <rPr>
            <sz val="9"/>
            <rFont val="Tahoma"/>
            <family val="2"/>
          </rPr>
          <t xml:space="preserve">
Per SIP, this value is used in determining the background concentration in effluent limit equation for Aquatic Life criteria or non-carcinogenic Human Health criteria (i.e., in determining ECA - Effluent Concentration Allowance). </t>
        </r>
      </text>
    </comment>
    <comment ref="I126" authorId="1">
      <text>
        <r>
          <rPr>
            <b/>
            <sz val="8"/>
            <rFont val="Tahoma"/>
            <family val="0"/>
          </rPr>
          <t>Daniel Leva:</t>
        </r>
        <r>
          <rPr>
            <sz val="8"/>
            <rFont val="Tahoma"/>
            <family val="0"/>
          </rPr>
          <t xml:space="preserve">
Note based on BACWA 2002-2003 monitoring--pending TMDL will assign load allocations</t>
        </r>
      </text>
    </comment>
    <comment ref="N4" authorId="2">
      <text>
        <r>
          <rPr>
            <sz val="9"/>
            <rFont val="Tahoma"/>
            <family val="2"/>
          </rPr>
          <t xml:space="preserve">
Per the SIP, the average background concentration is used for </t>
        </r>
      </text>
    </comment>
  </commentList>
</comments>
</file>

<file path=xl/comments6.xml><?xml version="1.0" encoding="utf-8"?>
<comments xmlns="http://schemas.openxmlformats.org/spreadsheetml/2006/main">
  <authors>
    <author>laducan</author>
    <author>Daniel Leva</author>
  </authors>
  <commentList>
    <comment ref="A7" authorId="0">
      <text>
        <r>
          <rPr>
            <sz val="8"/>
            <rFont val="Tahoma"/>
            <family val="2"/>
          </rPr>
          <t>Maximum of 10 for RB 2 facilities</t>
        </r>
      </text>
    </comment>
    <comment ref="A8" authorId="0">
      <text>
        <r>
          <rPr>
            <sz val="8"/>
            <rFont val="Tahoma"/>
            <family val="0"/>
          </rPr>
          <t xml:space="preserve">If sampling frequency is 4x/month or less, set n=4 (see pg. 8 of SIP).
</t>
        </r>
      </text>
    </comment>
    <comment ref="A41" authorId="0">
      <text>
        <r>
          <rPr>
            <sz val="8"/>
            <rFont val="Tahoma"/>
            <family val="0"/>
          </rPr>
          <t xml:space="preserve">
applicable only with HH criteria
</t>
        </r>
      </text>
    </comment>
    <comment ref="B3" authorId="1">
      <text>
        <r>
          <rPr>
            <b/>
            <sz val="8"/>
            <rFont val="Tahoma"/>
            <family val="0"/>
          </rPr>
          <t xml:space="preserve">Daniel </t>
        </r>
        <r>
          <rPr>
            <b/>
            <sz val="10"/>
            <rFont val="Tahoma"/>
            <family val="2"/>
          </rPr>
          <t>Leva:</t>
        </r>
        <r>
          <rPr>
            <sz val="10"/>
            <rFont val="Tahoma"/>
            <family val="2"/>
          </rPr>
          <t xml:space="preserve">
This Template column is used by program to define the equations and formats used in the effluent limit calculations in other columns.  Its contents should not be altered, unless there is a clear basis for changing equations (e.g., change in SIP instructions).   Also,  rows should not be inserted, or else the program will use the wrong equations (the program assumes the equations are located in a fixed position).</t>
        </r>
        <r>
          <rPr>
            <sz val="8"/>
            <rFont val="Tahoma"/>
            <family val="0"/>
          </rPr>
          <t xml:space="preserve">  </t>
        </r>
      </text>
    </comment>
    <comment ref="A1" authorId="1">
      <text>
        <r>
          <rPr>
            <b/>
            <sz val="10"/>
            <rFont val="Tahoma"/>
            <family val="2"/>
          </rPr>
          <t xml:space="preserve">Note, all formulas and cell formats used in each limit calculation, are based on those in column B, which is hidden.  Column B can be unhidden and edited as needed.  </t>
        </r>
      </text>
    </comment>
  </commentList>
</comments>
</file>

<file path=xl/comments7.xml><?xml version="1.0" encoding="utf-8"?>
<comments xmlns="http://schemas.openxmlformats.org/spreadsheetml/2006/main">
  <authors>
    <author>Daniel Leva</author>
    <author>dleva</author>
  </authors>
  <commentList>
    <comment ref="A1" authorId="0">
      <text>
        <r>
          <rPr>
            <b/>
            <sz val="8"/>
            <rFont val="Tahoma"/>
            <family val="0"/>
          </rPr>
          <t>PermitTitle</t>
        </r>
        <r>
          <rPr>
            <sz val="8"/>
            <rFont val="Tahoma"/>
            <family val="0"/>
          </rPr>
          <t xml:space="preserve">
Name of permit owner or facility. (optional)</t>
        </r>
      </text>
    </comment>
    <comment ref="B1" authorId="0">
      <text>
        <r>
          <rPr>
            <b/>
            <sz val="8"/>
            <rFont val="Tahoma"/>
            <family val="2"/>
          </rPr>
          <t>Description</t>
        </r>
        <r>
          <rPr>
            <sz val="8"/>
            <rFont val="Tahoma"/>
            <family val="2"/>
          </rPr>
          <t xml:space="preserve">
Description of sample (e.g., sampling station number such as" E-001 Eff Daily Max").  
(optional)</t>
        </r>
      </text>
    </comment>
    <comment ref="C1" authorId="0">
      <text>
        <r>
          <rPr>
            <b/>
            <sz val="8"/>
            <rFont val="Tahoma"/>
            <family val="2"/>
          </rPr>
          <t>Pollutant</t>
        </r>
        <r>
          <rPr>
            <sz val="8"/>
            <rFont val="Tahoma"/>
            <family val="2"/>
          </rPr>
          <t xml:space="preserve">
Pollutant name.  Note, actually any name can be used since program identifies chemicals by CTR number.</t>
        </r>
        <r>
          <rPr>
            <sz val="9"/>
            <rFont val="Tahoma"/>
            <family val="2"/>
          </rPr>
          <t xml:space="preserve">
</t>
        </r>
      </text>
    </comment>
    <comment ref="D1" authorId="1">
      <text>
        <r>
          <rPr>
            <b/>
            <sz val="8"/>
            <rFont val="Tahoma"/>
            <family val="2"/>
          </rPr>
          <t>DATE</t>
        </r>
        <r>
          <rPr>
            <sz val="8"/>
            <rFont val="Tahoma"/>
            <family val="0"/>
          </rPr>
          <t xml:space="preserve">
The date of sample collection should be entered here.  Program does not allow two records for a pollutant to have same dates, since they are likely errors or can skew statistics.  For two of more samples collected on same day, average them into one sample.
To check for potential data entry errors, the program will also not accept dates before 1950 or after 2030, or blanks. 
Note also, the data must primarily be sorted by CTR number, and then secondarily by date.  If the dates are not in order, the program cannot be executed.  
</t>
        </r>
      </text>
    </comment>
    <comment ref="E1" authorId="1">
      <text>
        <r>
          <rPr>
            <b/>
            <sz val="8"/>
            <rFont val="Tahoma"/>
            <family val="2"/>
          </rPr>
          <t>QUALIFIERS</t>
        </r>
        <r>
          <rPr>
            <sz val="8"/>
            <rFont val="Tahoma"/>
            <family val="0"/>
          </rPr>
          <t xml:space="preserve">
Three qualifiers are used:
1) "ND" - indicates non-detection. For ND's, the MDL value should be entered into the Values column (and optionally in the MDL column).  Note, a "&lt;" is not accepted, and should be converted to "ND".
2) "J" or "DNQ" - indicates estimated value, where the measurement is between the MDL and ML.  The estimated value should be entered in the Values column.
For detected concentrations that are quantified, the qualifier column should be left blank, and the concentration entered into the Values column.
</t>
        </r>
      </text>
    </comment>
    <comment ref="F1" authorId="1">
      <text>
        <r>
          <rPr>
            <b/>
            <sz val="8"/>
            <rFont val="Tahoma"/>
            <family val="2"/>
          </rPr>
          <t xml:space="preserve">VALUES
</t>
        </r>
        <r>
          <rPr>
            <sz val="8"/>
            <rFont val="Tahoma"/>
            <family val="2"/>
          </rPr>
          <t xml:space="preserve">
In the Values column, the detected or estimated concentration should be entered.  Or for non-detections with "ND" entered in the Qualifier column, the MDL should be entered in the Values column.  The Value column should never be left empty</t>
        </r>
      </text>
    </comment>
    <comment ref="G1" authorId="1">
      <text>
        <r>
          <rPr>
            <b/>
            <sz val="8"/>
            <rFont val="Tahoma"/>
            <family val="2"/>
          </rPr>
          <t>UNITS</t>
        </r>
        <r>
          <rPr>
            <sz val="8"/>
            <rFont val="Tahoma"/>
            <family val="0"/>
          </rPr>
          <t xml:space="preserve">
The program only accepts one concentration unit, micrograms per liter.  The units must be precisely represented as "ug/L" or "ug/l".  </t>
        </r>
      </text>
    </comment>
    <comment ref="H1" authorId="0">
      <text>
        <r>
          <rPr>
            <b/>
            <sz val="8"/>
            <rFont val="Tahoma"/>
            <family val="2"/>
          </rPr>
          <t>ML</t>
        </r>
        <r>
          <rPr>
            <sz val="8"/>
            <rFont val="Tahoma"/>
            <family val="0"/>
          </rPr>
          <t xml:space="preserve">
Minimum Level 
(optional)
</t>
        </r>
      </text>
    </comment>
    <comment ref="I1" authorId="0">
      <text>
        <r>
          <rPr>
            <b/>
            <sz val="8"/>
            <rFont val="Tahoma"/>
            <family val="0"/>
          </rPr>
          <t>MDL</t>
        </r>
        <r>
          <rPr>
            <sz val="8"/>
            <rFont val="Tahoma"/>
            <family val="0"/>
          </rPr>
          <t xml:space="preserve">
Minimum Detection Limit.  A Non-Detect means the concentration is less than the MDL.  For Non-Detects, the MDL value should be provided in the Value column.  For clarity, it should also be provided in this MDL column, but this is actually optional.
</t>
        </r>
      </text>
    </comment>
    <comment ref="J1" authorId="0">
      <text>
        <r>
          <rPr>
            <b/>
            <sz val="8"/>
            <rFont val="Tahoma"/>
            <family val="2"/>
          </rPr>
          <t>RDL</t>
        </r>
        <r>
          <rPr>
            <sz val="8"/>
            <rFont val="Tahoma"/>
            <family val="0"/>
          </rPr>
          <t xml:space="preserve">
Reported Detection Level
(optional)
</t>
        </r>
      </text>
    </comment>
    <comment ref="K1" authorId="1">
      <text>
        <r>
          <rPr>
            <b/>
            <sz val="8"/>
            <rFont val="Tahoma"/>
            <family val="2"/>
          </rPr>
          <t>CTR NUMBER</t>
        </r>
        <r>
          <rPr>
            <sz val="8"/>
            <rFont val="Tahoma"/>
            <family val="0"/>
          </rPr>
          <t xml:space="preserve">
The CTR number of the priority pollutant is entered here.  Note, before execution of the program, the data must primarily be sorted by CTR number, and secondarily be sorted by date.  The row after the last row of the data set should be left blank, so the program can determine where the data set ends.  
The program only accepts CTR numbers between 1 and 200 for CTR pollutants, and fictitous CTR numbers beginning at 1001 for Basin Plan (or other non-CTR) water quality objectives. The CTR #'s of data in this sheet should match with those listed in worksheet "Criteria".   Note the following:
</t>
        </r>
        <r>
          <rPr>
            <b/>
            <sz val="8"/>
            <color indexed="8"/>
            <rFont val="Tahoma"/>
            <family val="2"/>
          </rPr>
          <t>1) ChromiumIII:</t>
        </r>
        <r>
          <rPr>
            <sz val="8"/>
            <rFont val="Tahoma"/>
            <family val="0"/>
          </rPr>
          <t xml:space="preserve"> use "5.1"
</t>
        </r>
        <r>
          <rPr>
            <b/>
            <sz val="8"/>
            <rFont val="Tahoma"/>
            <family val="2"/>
          </rPr>
          <t>2) ChromiumIV:</t>
        </r>
        <r>
          <rPr>
            <sz val="8"/>
            <rFont val="Tahoma"/>
            <family val="0"/>
          </rPr>
          <t xml:space="preserve">  use "5.2"
</t>
        </r>
        <r>
          <rPr>
            <b/>
            <sz val="8"/>
            <rFont val="Tahoma"/>
            <family val="2"/>
          </rPr>
          <t>3) Dixion-TEQ:</t>
        </r>
        <r>
          <rPr>
            <sz val="8"/>
            <rFont val="Tahoma"/>
            <family val="0"/>
          </rPr>
          <t xml:space="preserve">  if you have calculated Dioxin-TEQ in ug/L units, the CTR # should be indicated as "16" (note however, TEQ, is a Basin Plan WQO)
</t>
        </r>
        <r>
          <rPr>
            <b/>
            <sz val="8"/>
            <rFont val="Tahoma"/>
            <family val="2"/>
          </rPr>
          <t>4) PCB_Sum:</t>
        </r>
        <r>
          <rPr>
            <sz val="8"/>
            <rFont val="Tahoma"/>
            <family val="0"/>
          </rPr>
          <t xml:space="preserve">  PCB_Sum, which is a CTR criterion based on the sum of 7 arochlors (CTR #'s 119 to 125), is assigned a CTR # of "125.5", since 119 to 125 are used by arochlors.  
</t>
        </r>
        <r>
          <rPr>
            <b/>
            <sz val="8"/>
            <rFont val="Tahoma"/>
            <family val="2"/>
          </rPr>
          <t>4) Basin Plan Water Quality Objectives:</t>
        </r>
        <r>
          <rPr>
            <sz val="8"/>
            <rFont val="Tahoma"/>
            <family val="0"/>
          </rPr>
          <t xml:space="preserve">  fictitious CTR # should be assigned for non-CTR pollutants, such as from the Basin Plan.  They should begin at 1001 and have corresponding values in the sheets "Criteria", "RPAInput", and "RPA".  You can add as many Basin Plan or non-CTR pollutants as you like. Currently the following are used:
  Tributyltin - 1001
  Total PAH - 1002
The program will not accept a blank or letters in the CTR column.  This data and any data which does not have a corresponding CTR number enterered into the "Criteria" sheet, should be removed.</t>
        </r>
      </text>
    </comment>
    <comment ref="L1" authorId="0">
      <text>
        <r>
          <rPr>
            <b/>
            <sz val="8"/>
            <rFont val="Tahoma"/>
            <family val="0"/>
          </rPr>
          <t>Comments</t>
        </r>
        <r>
          <rPr>
            <sz val="8"/>
            <rFont val="Tahoma"/>
            <family val="0"/>
          </rPr>
          <t xml:space="preserve">
Comments on measurement, such as dilution, or QA/QC comment.
(optional)</t>
        </r>
      </text>
    </comment>
  </commentList>
</comments>
</file>

<file path=xl/comments8.xml><?xml version="1.0" encoding="utf-8"?>
<comments xmlns="http://schemas.openxmlformats.org/spreadsheetml/2006/main">
  <authors>
    <author>Daniel Leva</author>
    <author>dleva</author>
  </authors>
  <commentList>
    <comment ref="A2" authorId="0">
      <text>
        <r>
          <rPr>
            <b/>
            <sz val="8"/>
            <rFont val="Tahoma"/>
            <family val="0"/>
          </rPr>
          <t>PermitTitle</t>
        </r>
        <r>
          <rPr>
            <sz val="8"/>
            <rFont val="Tahoma"/>
            <family val="0"/>
          </rPr>
          <t xml:space="preserve">
Name of permittee. (optional)</t>
        </r>
      </text>
    </comment>
    <comment ref="B2" authorId="0">
      <text>
        <r>
          <rPr>
            <b/>
            <sz val="8"/>
            <rFont val="Tahoma"/>
            <family val="2"/>
          </rPr>
          <t>Description</t>
        </r>
        <r>
          <rPr>
            <sz val="8"/>
            <rFont val="Tahoma"/>
            <family val="2"/>
          </rPr>
          <t xml:space="preserve">
Description of sample (e.g., sampling station number such as" E-001 Eff Daily Max").  
(optional)</t>
        </r>
      </text>
    </comment>
    <comment ref="C2" authorId="0">
      <text>
        <r>
          <rPr>
            <b/>
            <sz val="8"/>
            <rFont val="Tahoma"/>
            <family val="2"/>
          </rPr>
          <t>Pollutant</t>
        </r>
        <r>
          <rPr>
            <sz val="8"/>
            <rFont val="Tahoma"/>
            <family val="2"/>
          </rPr>
          <t xml:space="preserve">
Pollutant name.  Any name can be used since program identifies chemicals by CTR number.</t>
        </r>
        <r>
          <rPr>
            <sz val="9"/>
            <rFont val="Tahoma"/>
            <family val="2"/>
          </rPr>
          <t xml:space="preserve">
</t>
        </r>
      </text>
    </comment>
    <comment ref="D2" authorId="1">
      <text>
        <r>
          <rPr>
            <b/>
            <sz val="8"/>
            <rFont val="Tahoma"/>
            <family val="2"/>
          </rPr>
          <t>DATE</t>
        </r>
        <r>
          <rPr>
            <sz val="8"/>
            <rFont val="Tahoma"/>
            <family val="0"/>
          </rPr>
          <t xml:space="preserve">
The date of sample collection should be entered here.  To check for potential data entry errors, the program will not accept dates before 1950 or after 2030, or blanks. 
Note also, the data must primarily be sorted by CTR number, and then secondarily by date.  If the dates are not in order, the program cannot be executed.  
</t>
        </r>
      </text>
    </comment>
    <comment ref="E2" authorId="1">
      <text>
        <r>
          <rPr>
            <b/>
            <sz val="8"/>
            <rFont val="Tahoma"/>
            <family val="2"/>
          </rPr>
          <t>QUALIFIERS</t>
        </r>
        <r>
          <rPr>
            <sz val="8"/>
            <rFont val="Tahoma"/>
            <family val="0"/>
          </rPr>
          <t xml:space="preserve">
Three qualifiers are used:
1) "ND" - indicates non-detection. For ND's, the MDL value should be entered into the Values column (and optionally in the MDL column).  Note, a "&lt;" is not accepted, and should be converted to "ND".
2) "J" or "DNQ" - indicates estimated value, where the measurement is between the MDL and ML.  The estimated value should be entered in the Values column.
For detected concentrations that are quantified, the qualifier column should be left blank, and the concentration entered into the Values column.
</t>
        </r>
      </text>
    </comment>
    <comment ref="F2" authorId="1">
      <text>
        <r>
          <rPr>
            <b/>
            <sz val="8"/>
            <rFont val="Tahoma"/>
            <family val="2"/>
          </rPr>
          <t xml:space="preserve">VALUES
</t>
        </r>
        <r>
          <rPr>
            <sz val="8"/>
            <rFont val="Tahoma"/>
            <family val="2"/>
          </rPr>
          <t xml:space="preserve">
In the Values column, the detected or estimated concentration should be entered.  Or for non-detections with "ND" entered in the Qualifier column, the MDL should be entered in the Values column.  The Value column should never be left empty</t>
        </r>
      </text>
    </comment>
    <comment ref="G2" authorId="1">
      <text>
        <r>
          <rPr>
            <b/>
            <sz val="8"/>
            <rFont val="Tahoma"/>
            <family val="2"/>
          </rPr>
          <t>UNITS</t>
        </r>
        <r>
          <rPr>
            <sz val="8"/>
            <rFont val="Tahoma"/>
            <family val="0"/>
          </rPr>
          <t xml:space="preserve">
The program only accepts one concentration unit, micrograms per liter.  The units must be precisely represented as "ug/L" or "ug/l".  </t>
        </r>
      </text>
    </comment>
    <comment ref="L2" authorId="0">
      <text>
        <r>
          <rPr>
            <b/>
            <sz val="8"/>
            <rFont val="Tahoma"/>
            <family val="0"/>
          </rPr>
          <t>Comments</t>
        </r>
        <r>
          <rPr>
            <sz val="8"/>
            <rFont val="Tahoma"/>
            <family val="0"/>
          </rPr>
          <t xml:space="preserve">
Comments on measurement, such as dilution, or QA/QC comment.
(optional)</t>
        </r>
      </text>
    </comment>
    <comment ref="O1" authorId="0">
      <text>
        <r>
          <rPr>
            <b/>
            <sz val="9"/>
            <rFont val="Tahoma"/>
            <family val="2"/>
          </rPr>
          <t>SUM_CHEMICAL DEFINITION TABLE</t>
        </r>
        <r>
          <rPr>
            <sz val="9"/>
            <rFont val="Tahoma"/>
            <family val="2"/>
          </rPr>
          <t xml:space="preserve">
This table defines Water Quality Objectives (WQO) that apply to the summation of various pollutants (congeners).  The WQO is given a summed chemical name, such as "PCB_Sum".  
To define a new SumChemical, simply add the appropriate information into the next two columns to the right of exisiting congener information.  The program will automatically use this new information to define a new SumChemical.  </t>
        </r>
      </text>
    </comment>
    <comment ref="K2" authorId="1">
      <text>
        <r>
          <rPr>
            <b/>
            <sz val="8"/>
            <rFont val="Tahoma"/>
            <family val="2"/>
          </rPr>
          <t>CTR NUMBER</t>
        </r>
        <r>
          <rPr>
            <sz val="8"/>
            <rFont val="Tahoma"/>
            <family val="0"/>
          </rPr>
          <t xml:space="preserve">
The CTR number of the priority pollutant is entered here.  Note, before execution of the program, the data must primarily be sorted by CTR number, and secondarily be sorted by date.  The row after the last row of the data set should be left blank, so the program can determine where the data set ends.  
The program only accepts CTR numbers between 1 and 200 for CTR pollutants, and fictitous CTR numbers beginning at 1001 for Basin Plan (or other non-CTR) water quality objectives.  Note the following:
</t>
        </r>
        <r>
          <rPr>
            <b/>
            <sz val="8"/>
            <color indexed="8"/>
            <rFont val="Tahoma"/>
            <family val="2"/>
          </rPr>
          <t>1) ChromiumIII:</t>
        </r>
        <r>
          <rPr>
            <sz val="8"/>
            <rFont val="Tahoma"/>
            <family val="0"/>
          </rPr>
          <t xml:space="preserve"> use "5.1"
</t>
        </r>
        <r>
          <rPr>
            <b/>
            <sz val="8"/>
            <rFont val="Tahoma"/>
            <family val="2"/>
          </rPr>
          <t>2) ChromiumIV:</t>
        </r>
        <r>
          <rPr>
            <sz val="8"/>
            <rFont val="Tahoma"/>
            <family val="0"/>
          </rPr>
          <t xml:space="preserve">  use "5.2"
</t>
        </r>
        <r>
          <rPr>
            <b/>
            <sz val="8"/>
            <rFont val="Tahoma"/>
            <family val="2"/>
          </rPr>
          <t>3) Dixion-TEQ:</t>
        </r>
        <r>
          <rPr>
            <sz val="8"/>
            <rFont val="Tahoma"/>
            <family val="0"/>
          </rPr>
          <t xml:space="preserve">  if you have calculated Dioxin-TEQ in ug/L units, the CTR # should be indicated as "16" (note however, TEQ, is a Basin Plan value)
</t>
        </r>
        <r>
          <rPr>
            <b/>
            <sz val="8"/>
            <rFont val="Tahoma"/>
            <family val="2"/>
          </rPr>
          <t>4) PCB_Sum:</t>
        </r>
        <r>
          <rPr>
            <sz val="8"/>
            <rFont val="Tahoma"/>
            <family val="0"/>
          </rPr>
          <t xml:space="preserve">  PCB_Sum, which is a CTR criterion based on the sum of 7 arochlors (CTR #'s 119 to 125), is assigned a CTR # of "119.5", since 119 is used by PCB-1016.  
</t>
        </r>
        <r>
          <rPr>
            <b/>
            <sz val="8"/>
            <rFont val="Tahoma"/>
            <family val="2"/>
          </rPr>
          <t>4) Basin Plan Water Quality Objectives:</t>
        </r>
        <r>
          <rPr>
            <sz val="8"/>
            <rFont val="Tahoma"/>
            <family val="0"/>
          </rPr>
          <t xml:space="preserve">  fictitious CTR # should be assigned for non-CTR pollutants, such as from the Basin Plan.  They should begin at 1001 and have corresponding values in the sheets "Criteria", "RPAInput", and "RPA".  You can add as many Basin Plan or non-CTR pollutants as you like. Currently the following are used:
  Tributyltin - 1001
  Total PAH - 1002
The program will not accept a blank or letters in the CTR column.  This data and any data which does not have a corresponding CTR number enterered into the "Criteria" sheet, should be removed.</t>
        </r>
      </text>
    </comment>
  </commentList>
</comments>
</file>

<file path=xl/sharedStrings.xml><?xml version="1.0" encoding="utf-8"?>
<sst xmlns="http://schemas.openxmlformats.org/spreadsheetml/2006/main" count="12823" uniqueCount="675">
  <si>
    <t>9/2002 to 12/2005</t>
  </si>
  <si>
    <t>3/2001 to 12/2005</t>
  </si>
  <si>
    <t>1/2002 to 2/2006</t>
  </si>
  <si>
    <t>9/2002 to 9/2005</t>
  </si>
  <si>
    <t>3/2001 to 2/2006</t>
  </si>
  <si>
    <t>5/2003 to 10/2005</t>
  </si>
  <si>
    <t>10/2001 to 5/2005</t>
  </si>
  <si>
    <t>10/2001 to 10/2005</t>
  </si>
  <si>
    <t>5/2002 to 10/2005</t>
  </si>
  <si>
    <t>&lt;0.1</t>
  </si>
  <si>
    <t>&lt;0.56</t>
  </si>
  <si>
    <t>&lt;0.33</t>
  </si>
  <si>
    <t>&lt;0.06</t>
  </si>
  <si>
    <t>&lt;0.05</t>
  </si>
  <si>
    <t>&lt;0.07</t>
  </si>
  <si>
    <t>&lt;0.4</t>
  </si>
  <si>
    <t>&lt;0.3</t>
  </si>
  <si>
    <t>&lt;0.2</t>
  </si>
  <si>
    <t>&lt;0.029</t>
  </si>
  <si>
    <t>&lt;0.019</t>
  </si>
  <si>
    <t>&lt;0.039</t>
  </si>
  <si>
    <t>&lt;0.6</t>
  </si>
  <si>
    <t>&lt;0.02</t>
  </si>
  <si>
    <t>&lt;0.002</t>
  </si>
  <si>
    <t>&lt;0.001</t>
  </si>
  <si>
    <t>&lt;0.04</t>
  </si>
  <si>
    <t>&lt;0.005</t>
  </si>
  <si>
    <t>&lt;0.0029</t>
  </si>
  <si>
    <t>&lt;0.059</t>
  </si>
  <si>
    <t>&lt;0.15</t>
  </si>
  <si>
    <t>Beginning</t>
  </si>
  <si>
    <t>Step 2</t>
  </si>
  <si>
    <t>Step 3</t>
  </si>
  <si>
    <t>Step 4</t>
  </si>
  <si>
    <t>Step 5</t>
  </si>
  <si>
    <t>Step 6</t>
  </si>
  <si>
    <t xml:space="preserve">Constituent name </t>
  </si>
  <si>
    <t>CTR Water Quality Criteria (ug/L)</t>
  </si>
  <si>
    <t>Freshwater</t>
  </si>
  <si>
    <t>Saltwater</t>
  </si>
  <si>
    <t xml:space="preserve">Conversion Factor (CF) </t>
  </si>
  <si>
    <t>Organisms only</t>
  </si>
  <si>
    <t>freshwater acute criteria</t>
  </si>
  <si>
    <t>freshwater chronic criteria</t>
  </si>
  <si>
    <t>saltwater acute criteria</t>
  </si>
  <si>
    <t>saltwater chronic criteria</t>
  </si>
  <si>
    <t>Antimony</t>
  </si>
  <si>
    <t>Y</t>
  </si>
  <si>
    <t>N</t>
  </si>
  <si>
    <t>Thallium</t>
  </si>
  <si>
    <t>Asbestos</t>
  </si>
  <si>
    <t>Acrolein</t>
  </si>
  <si>
    <t>Acrylonitrile</t>
  </si>
  <si>
    <t>Benzene</t>
  </si>
  <si>
    <t>Bromoform</t>
  </si>
  <si>
    <t>Carbon Tetrachloride</t>
  </si>
  <si>
    <t>Chlorobenzene</t>
  </si>
  <si>
    <t>Chloroethane</t>
  </si>
  <si>
    <t>Chloroform</t>
  </si>
  <si>
    <t>Dichlorobromomethane</t>
  </si>
  <si>
    <t>1,1-Dichloroethane</t>
  </si>
  <si>
    <t>1,2-Dichloroethane</t>
  </si>
  <si>
    <t>1,1-Dichloroethylene</t>
  </si>
  <si>
    <t>1,2-Dichloropropane</t>
  </si>
  <si>
    <t>1,3-Dichloropropylene</t>
  </si>
  <si>
    <t>Ethylbenzene</t>
  </si>
  <si>
    <t>Methyl Bromide</t>
  </si>
  <si>
    <t>Methyl Chloride</t>
  </si>
  <si>
    <t>Methylene Chloride</t>
  </si>
  <si>
    <t>1,1,2,2-Tetrachloroethane</t>
  </si>
  <si>
    <t>Tetrachloroethylene</t>
  </si>
  <si>
    <t>Toluene</t>
  </si>
  <si>
    <t>1,2-Trans-Dichloroethylene</t>
  </si>
  <si>
    <t>1,1,1-Trichloroethane</t>
  </si>
  <si>
    <t>1,1,2-Trichloroethane</t>
  </si>
  <si>
    <t>Trichloroethylene</t>
  </si>
  <si>
    <t>Vinyl Chloride</t>
  </si>
  <si>
    <t>2,4-Dichlorophenol</t>
  </si>
  <si>
    <t>2,4-Dimethylphenol</t>
  </si>
  <si>
    <t>2,4-Dinitrophenol</t>
  </si>
  <si>
    <t>2-Nitrophenol</t>
  </si>
  <si>
    <t>4-Nitrophenol</t>
  </si>
  <si>
    <t>Pentachlorophenol</t>
  </si>
  <si>
    <t>Phenol</t>
  </si>
  <si>
    <t>2,4,6-Trichlorophenol</t>
  </si>
  <si>
    <t>Acenaphthene</t>
  </si>
  <si>
    <t>Anthracene</t>
  </si>
  <si>
    <t>Benzidine</t>
  </si>
  <si>
    <t>Benzo(a)Anthracene</t>
  </si>
  <si>
    <t>Benzo(a)Pyrene</t>
  </si>
  <si>
    <t>Benzo(b)Fluoranthene</t>
  </si>
  <si>
    <t>Benzo(ghi)Perylene</t>
  </si>
  <si>
    <t>Benzo(k)Fluoranthene</t>
  </si>
  <si>
    <t>Bis(2-Chloroethoxy)Methane</t>
  </si>
  <si>
    <t>Bis(2-Chloroethyl)Ether</t>
  </si>
  <si>
    <t>Bis(2-Chloroisopropyl)Ether</t>
  </si>
  <si>
    <t>Bis(2-Ethylhexyl)Phthalate</t>
  </si>
  <si>
    <t>4-Bromophenyl Phenyl Ether</t>
  </si>
  <si>
    <t>Butylbenzyl Phthalate</t>
  </si>
  <si>
    <t>2-Chloronaphthalene</t>
  </si>
  <si>
    <t>4-Chlorophenyl Phenyl Ether</t>
  </si>
  <si>
    <t>Chrysene</t>
  </si>
  <si>
    <t>Dibenzo(a,h)Anthracene</t>
  </si>
  <si>
    <t>1,2-Dichlorobenzene</t>
  </si>
  <si>
    <t>1,3-Dichlorobenzene</t>
  </si>
  <si>
    <t>1,4-Dichlorobenzene</t>
  </si>
  <si>
    <t>Diethyl Phthalate</t>
  </si>
  <si>
    <t>Dimethyl Phthalate</t>
  </si>
  <si>
    <t>Di-n-Butyl Phthalate</t>
  </si>
  <si>
    <t>2,4-Dinitrotoluene</t>
  </si>
  <si>
    <t>2,6-Dinitrotoluene</t>
  </si>
  <si>
    <t>Di-n-Octyl Phthalate</t>
  </si>
  <si>
    <t>1,2-Diphenylhydrazine</t>
  </si>
  <si>
    <t>Fluoranthene</t>
  </si>
  <si>
    <t>Fluorene</t>
  </si>
  <si>
    <t>Hexachlorobenzene</t>
  </si>
  <si>
    <t>Hexachlorobutadiene</t>
  </si>
  <si>
    <t>Hexachlorocyclopentadiene</t>
  </si>
  <si>
    <t>Hexachloroethane</t>
  </si>
  <si>
    <t>Isophorone</t>
  </si>
  <si>
    <t>Naphthalene</t>
  </si>
  <si>
    <t>Nitrobenzene</t>
  </si>
  <si>
    <t>N-Nitrosodimethylamine</t>
  </si>
  <si>
    <t>N-Nitrosodi-n-Propylamine</t>
  </si>
  <si>
    <t>N-Nitrosodiphenylamine</t>
  </si>
  <si>
    <t>Phenanthrene</t>
  </si>
  <si>
    <t>Pyrene</t>
  </si>
  <si>
    <t>1,2,4-Trichlorobenzene</t>
  </si>
  <si>
    <t>Aldrin</t>
  </si>
  <si>
    <t>alpha-BHC</t>
  </si>
  <si>
    <t>beta-BHC</t>
  </si>
  <si>
    <t>gamma-BHC</t>
  </si>
  <si>
    <t>delta-BHC</t>
  </si>
  <si>
    <t>alpha-Endosulfan</t>
  </si>
  <si>
    <t>Endosulfan Sulfate</t>
  </si>
  <si>
    <t>Endrin</t>
  </si>
  <si>
    <t>Endrin Aldehyde</t>
  </si>
  <si>
    <t>Heptachlor</t>
  </si>
  <si>
    <t>Toxaphene</t>
  </si>
  <si>
    <t xml:space="preserve">a. The most stringent of salt and fresh water criteria were selected for this analysis. </t>
  </si>
  <si>
    <t>IM: Interim monitoring is required</t>
  </si>
  <si>
    <t>b. According to Table 1 of Section (b)(1) of CTR (40CFR 131.38), those criteria should use Basin Plan objectives; criteria for Se and CN are specified by the NTR.</t>
  </si>
  <si>
    <r>
      <t>C (</t>
    </r>
    <r>
      <rPr>
        <sz val="10"/>
        <rFont val="Symbol"/>
        <family val="1"/>
      </rPr>
      <t>m</t>
    </r>
    <r>
      <rPr>
        <i/>
        <sz val="10"/>
        <rFont val="Arial"/>
        <family val="2"/>
      </rPr>
      <t>g/L)</t>
    </r>
  </si>
  <si>
    <t>Effluent Data Available (Y/N)?</t>
  </si>
  <si>
    <t>Are all data points non-detects (Y/N)?</t>
  </si>
  <si>
    <t>Final Result</t>
  </si>
  <si>
    <t>PRIORITY POLLUTANTS</t>
  </si>
  <si>
    <t>Arsenic</t>
  </si>
  <si>
    <t>Basis and Criteria type</t>
  </si>
  <si>
    <t>Lowest WQO</t>
  </si>
  <si>
    <t>Translators</t>
  </si>
  <si>
    <t>Dilution Factor (D) (if applicable)</t>
  </si>
  <si>
    <t>HH criteria analysis required? (Y/N)</t>
  </si>
  <si>
    <t>Applicable Acute WQO</t>
  </si>
  <si>
    <t>Applicable Chronic WQO</t>
  </si>
  <si>
    <t>HH criteria</t>
  </si>
  <si>
    <t>Is the pollutant Bioaccumulative(Y/N)? (e.g., Hg)</t>
  </si>
  <si>
    <t>ECA acute</t>
  </si>
  <si>
    <t>ECA chronic</t>
  </si>
  <si>
    <t>ECA HH</t>
  </si>
  <si>
    <t>CV calculated</t>
  </si>
  <si>
    <t>CV (Selected) - Final</t>
  </si>
  <si>
    <t>ECA acute mult99</t>
  </si>
  <si>
    <t>ECA chronic mult99</t>
  </si>
  <si>
    <t>LTA acute</t>
  </si>
  <si>
    <t>LTA chronic</t>
  </si>
  <si>
    <t>minimum of LTAs</t>
  </si>
  <si>
    <t>AMEL mult95</t>
  </si>
  <si>
    <t>MDEL mult99</t>
  </si>
  <si>
    <t>AMEL (aq life)</t>
  </si>
  <si>
    <t>MDEL(aq life)</t>
  </si>
  <si>
    <t xml:space="preserve">MDEL/AMEL Multiplier </t>
  </si>
  <si>
    <t>AMEL (human hlth)</t>
  </si>
  <si>
    <t>MDEL (human hlth)</t>
  </si>
  <si>
    <t>minimum of AMEL for Aq. life vs HH</t>
  </si>
  <si>
    <t>minimum of MDEL for Aq. Life vs HH</t>
  </si>
  <si>
    <t>Lowest (most stringent) Criteria (Enter "No Criteria" for no criteria)</t>
  </si>
  <si>
    <t>Hardness (mg/L CaCO3)</t>
  </si>
  <si>
    <t>pH (s.u.)</t>
  </si>
  <si>
    <t>Freshwater                       (from Table 3-4)</t>
  </si>
  <si>
    <t>Human Health for consumption of:</t>
  </si>
  <si>
    <t>CMC (acute)</t>
  </si>
  <si>
    <t>CCC (chronic)</t>
  </si>
  <si>
    <t>Water &amp; organisms</t>
  </si>
  <si>
    <t>ma</t>
  </si>
  <si>
    <t>ba</t>
  </si>
  <si>
    <t>mc</t>
  </si>
  <si>
    <t>bc</t>
  </si>
  <si>
    <t>ug/L</t>
  </si>
  <si>
    <t>Beryllium</t>
  </si>
  <si>
    <t>Cadmium</t>
  </si>
  <si>
    <t xml:space="preserve">Copper </t>
  </si>
  <si>
    <t>Lead</t>
  </si>
  <si>
    <t>Mercury</t>
  </si>
  <si>
    <t>Nickel</t>
  </si>
  <si>
    <t>Selenium</t>
  </si>
  <si>
    <t>Silver</t>
  </si>
  <si>
    <t>Zinc</t>
  </si>
  <si>
    <t>Cyanide</t>
  </si>
  <si>
    <t>Chlordibromomethane</t>
  </si>
  <si>
    <t>2-Chloroethylvinyl Ether</t>
  </si>
  <si>
    <t>Chlorophenol</t>
  </si>
  <si>
    <t>2-Methyl-4,6-Dinitrophenol</t>
  </si>
  <si>
    <t>3-Methyl-4-Chlorophenol</t>
  </si>
  <si>
    <t>Acenephthylene</t>
  </si>
  <si>
    <t>3,3'-Dichlorobenzidine</t>
  </si>
  <si>
    <t>Indeno(1,2,3-cd) Pyrene</t>
  </si>
  <si>
    <t>naphthalene</t>
  </si>
  <si>
    <t>Chlordane</t>
  </si>
  <si>
    <t>4,4-DDT</t>
  </si>
  <si>
    <t>4,4-DDE</t>
  </si>
  <si>
    <t>4,4-DDD</t>
  </si>
  <si>
    <t>Dieldrin</t>
  </si>
  <si>
    <t>beta-Endosulfan</t>
  </si>
  <si>
    <t>Heptchlor Epoxide</t>
  </si>
  <si>
    <t>Tributyltin</t>
  </si>
  <si>
    <t>Factors for Metals Freshwater Criteria Calculation</t>
  </si>
  <si>
    <t>Reason</t>
  </si>
  <si>
    <t xml:space="preserve">      (MEC= deteted max value; if all ND &amp; MDL&lt;C then MEC = MDL)</t>
  </si>
  <si>
    <t>Maximum Pollutant Concentration from the effluent (MEC) (ug/L)</t>
  </si>
  <si>
    <t>If all data points ND Enter the min detection limit (MDL) (ug/L)</t>
  </si>
  <si>
    <t>Enter the pollutant effluent detected max conc (ug/L)</t>
  </si>
  <si>
    <t>MEC vs. C</t>
  </si>
  <si>
    <t xml:space="preserve">1. If MEC&gt; or =C, effluent limitation is required; 2. If MEC&lt;C, go to Step 5 </t>
  </si>
  <si>
    <t>B vs. C</t>
  </si>
  <si>
    <t>RPA Result</t>
  </si>
  <si>
    <t>Input Check</t>
  </si>
  <si>
    <t>B Available (Y/N)?</t>
  </si>
  <si>
    <t>Are all B non-detects (Y/N)?</t>
  </si>
  <si>
    <t>Enter the Detected Maximum Background Conc</t>
  </si>
  <si>
    <t>BACKGROUND  DATA (B)</t>
  </si>
  <si>
    <t>Are all B data points non-detects (Y/N)?</t>
  </si>
  <si>
    <t>Enter the pollutant B detected max conc (ug/L)</t>
  </si>
  <si>
    <t>Max Effl Conc (MEC)</t>
  </si>
  <si>
    <t>Date</t>
  </si>
  <si>
    <t>Aquatic life criteria analysis required? (Y/N)</t>
  </si>
  <si>
    <t>No. of data points &lt;10 or at least 80% of data reported non detect? (Y/N)</t>
  </si>
  <si>
    <t>Ud: Cannot determine reasonable potential due to the absence of data, or because Minimum DL is greater than water quality objective or CTR criteria</t>
  </si>
  <si>
    <t>Site-Specific Translators</t>
  </si>
  <si>
    <t>Acute</t>
  </si>
  <si>
    <t>Chronic</t>
  </si>
  <si>
    <t>Saltwater                      (from Table 3-3)</t>
  </si>
  <si>
    <t>Total PAHs</t>
  </si>
  <si>
    <t>Chromium (VI)</t>
  </si>
  <si>
    <t>Chromium (III) or total</t>
  </si>
  <si>
    <t>ND</t>
  </si>
  <si>
    <t>no. of samples per month</t>
  </si>
  <si>
    <t>Background (max conc for Aquatic Life calc)</t>
  </si>
  <si>
    <t>avg of data points</t>
  </si>
  <si>
    <t>SD</t>
  </si>
  <si>
    <t>Current limit in permit (30-d avg)</t>
  </si>
  <si>
    <t>N/A</t>
  </si>
  <si>
    <t>Current limits in permit (daily)</t>
  </si>
  <si>
    <t>Final limit - Calculated AMEL</t>
  </si>
  <si>
    <t>Final limit - Calculated MDEL</t>
  </si>
  <si>
    <t>Feasible for immediate compliance?</t>
  </si>
  <si>
    <t>Basin Plan SSO</t>
  </si>
  <si>
    <t>acute</t>
  </si>
  <si>
    <t>chronic</t>
  </si>
  <si>
    <t>J</t>
  </si>
  <si>
    <t>Dioxin-TEQ</t>
  </si>
  <si>
    <t/>
  </si>
  <si>
    <t>?</t>
  </si>
  <si>
    <t>ML</t>
  </si>
  <si>
    <t>MDL</t>
  </si>
  <si>
    <t>RDL</t>
  </si>
  <si>
    <t>Comments</t>
  </si>
  <si>
    <t>CV</t>
  </si>
  <si>
    <t>Value</t>
  </si>
  <si>
    <t>Template</t>
  </si>
  <si>
    <t>Analyte Name</t>
  </si>
  <si>
    <t>Qualifier</t>
  </si>
  <si>
    <t>Units</t>
  </si>
  <si>
    <t># Data Pts</t>
  </si>
  <si>
    <t># NDs</t>
  </si>
  <si>
    <t>Percent NDs</t>
  </si>
  <si>
    <t># Data Pts&lt;10 or Per ND&gt;=80%?</t>
  </si>
  <si>
    <t>Avg</t>
  </si>
  <si>
    <t>CTR#</t>
  </si>
  <si>
    <t>Bioaccum-ulative? (Y/N)</t>
  </si>
  <si>
    <t>Facility Name</t>
  </si>
  <si>
    <t>Dilution Factor</t>
  </si>
  <si>
    <t>CTR Number</t>
  </si>
  <si>
    <t>Salinity Classification</t>
  </si>
  <si>
    <t>Estuarine</t>
  </si>
  <si>
    <t>GENERAL INPUT INFORMATION</t>
  </si>
  <si>
    <t>Site-Specific Translators? (Y/N)</t>
  </si>
  <si>
    <t xml:space="preserve">Saltwater
</t>
  </si>
  <si>
    <t xml:space="preserve">Freshwater
</t>
  </si>
  <si>
    <t>Region for Site-Specific Objective</t>
  </si>
  <si>
    <t>Basin Plan Objectives (ug/L)</t>
  </si>
  <si>
    <t>South Dumbarton Bridge</t>
  </si>
  <si>
    <t>North Dumbarton Bridge</t>
  </si>
  <si>
    <t>Add Another Region…</t>
  </si>
  <si>
    <t>Site-Specific Objectives in Basin Plan</t>
  </si>
  <si>
    <t>Lowest (most stringent) Criteria or SSO</t>
  </si>
  <si>
    <t>Human Health</t>
  </si>
  <si>
    <t>#</t>
  </si>
  <si>
    <t>NTR FW</t>
  </si>
  <si>
    <t>Site-Specific Translators exist?</t>
  </si>
  <si>
    <t>to</t>
  </si>
  <si>
    <t>Interim Limit if compliance schedule granted:</t>
  </si>
  <si>
    <t>Information Requested</t>
  </si>
  <si>
    <t>Period used for effluent conc. data:</t>
  </si>
  <si>
    <t>Water Body Region for SSO:</t>
  </si>
  <si>
    <t>None</t>
  </si>
  <si>
    <t>Messages on Input</t>
  </si>
  <si>
    <t xml:space="preserve">pH of receiving water </t>
  </si>
  <si>
    <t>Hardness (mg/L CaCO3) of receiving water</t>
  </si>
  <si>
    <t>Salinity Classification of receiving water</t>
  </si>
  <si>
    <t>`</t>
  </si>
  <si>
    <t>Order No. or 'Tentative Order'</t>
  </si>
  <si>
    <t>Tentative Order</t>
  </si>
  <si>
    <t>PermitTitle</t>
  </si>
  <si>
    <t>Description</t>
  </si>
  <si>
    <t>Pollutant</t>
  </si>
  <si>
    <t>Unit</t>
  </si>
  <si>
    <t>CTR</t>
  </si>
  <si>
    <t>Rodeo Sanitary District Permit</t>
  </si>
  <si>
    <t>E-001 (13267 Study Data) Eff Daily Maximum</t>
  </si>
  <si>
    <t>Antinomy</t>
  </si>
  <si>
    <t>ug/l</t>
  </si>
  <si>
    <t xml:space="preserve"> </t>
  </si>
  <si>
    <t>E-001 Eff Daily Maximum</t>
  </si>
  <si>
    <t>As</t>
  </si>
  <si>
    <t>Cd</t>
  </si>
  <si>
    <t>Cr6</t>
  </si>
  <si>
    <t>Cu</t>
  </si>
  <si>
    <t>Pb</t>
  </si>
  <si>
    <t>Hg</t>
  </si>
  <si>
    <t>Ni</t>
  </si>
  <si>
    <t>Se</t>
  </si>
  <si>
    <t>Ag</t>
  </si>
  <si>
    <t>Zn</t>
  </si>
  <si>
    <t>CN</t>
  </si>
  <si>
    <t>E-001 (13267 Study) EPA 624 (601,602, 603) Eff Daily Maximum</t>
  </si>
  <si>
    <t>Acrylonitr</t>
  </si>
  <si>
    <t>Carbon tet</t>
  </si>
  <si>
    <t>Chlorobenz</t>
  </si>
  <si>
    <t>ClDibromthan</t>
  </si>
  <si>
    <t>2-CEV Ether</t>
  </si>
  <si>
    <t>DiClBromthan</t>
  </si>
  <si>
    <t>1,1-DCA</t>
  </si>
  <si>
    <t>12E</t>
  </si>
  <si>
    <t>11E</t>
  </si>
  <si>
    <t>1,2 Dchlopro</t>
  </si>
  <si>
    <t>cis-1,3-DiClpe</t>
  </si>
  <si>
    <t>trans-1,3DiClpe</t>
  </si>
  <si>
    <t>Ethylbenze</t>
  </si>
  <si>
    <t>Bromomethane</t>
  </si>
  <si>
    <t>Chloromethan</t>
  </si>
  <si>
    <t>Meth_Ch</t>
  </si>
  <si>
    <t>1,1,2,2-TCA</t>
  </si>
  <si>
    <t>Tetrachlor</t>
  </si>
  <si>
    <t>T-1,2-DCE</t>
  </si>
  <si>
    <t>1,1,1-TCA</t>
  </si>
  <si>
    <t>1,1,2-TCA</t>
  </si>
  <si>
    <t>TriClethene</t>
  </si>
  <si>
    <t>Vinyl chlo</t>
  </si>
  <si>
    <t>E-001 (13267 Study) EPA 625 Eff Daily Maximum</t>
  </si>
  <si>
    <t>2-Chlorophen</t>
  </si>
  <si>
    <t>2,4-Dcphenol</t>
  </si>
  <si>
    <t>2,4-Dmphenol</t>
  </si>
  <si>
    <t>4,6,-Dinit</t>
  </si>
  <si>
    <t>2,4,- Dini</t>
  </si>
  <si>
    <t>2-Nitrophen</t>
  </si>
  <si>
    <t>4-Nitropheno</t>
  </si>
  <si>
    <t>4-cl-3mphen</t>
  </si>
  <si>
    <t>PCP</t>
  </si>
  <si>
    <t>E-001 (13267 Study) EPA 614 Eff Daily Maximum</t>
  </si>
  <si>
    <t>2,4,6-Tric</t>
  </si>
  <si>
    <t>E-001 (13267 Study) EPA 610HPLC Eff Daily Maximum</t>
  </si>
  <si>
    <t>Acnaphthene</t>
  </si>
  <si>
    <t>E-001 PAHs Eff Daily Maximum</t>
  </si>
  <si>
    <t>Acenaphth</t>
  </si>
  <si>
    <t>1,2-BZ(AH)AN</t>
  </si>
  <si>
    <t>BENZO(A)Pyre</t>
  </si>
  <si>
    <t>3,4-BFLUOR</t>
  </si>
  <si>
    <t>1,12-BZPERY</t>
  </si>
  <si>
    <t>B(K)Flranthn</t>
  </si>
  <si>
    <t>BEM</t>
  </si>
  <si>
    <t>Bis(2-chlo</t>
  </si>
  <si>
    <t>BIT</t>
  </si>
  <si>
    <t>Bis(2-ethy</t>
  </si>
  <si>
    <t>4-BP-Phnethr</t>
  </si>
  <si>
    <t>Btlbenphthl</t>
  </si>
  <si>
    <t>2-Chlornapth</t>
  </si>
  <si>
    <t>4-Cppether</t>
  </si>
  <si>
    <t>CHRYSENE</t>
  </si>
  <si>
    <t>DBZ(AH)ANTHR</t>
  </si>
  <si>
    <t>1,2 Dichl-B</t>
  </si>
  <si>
    <t>1,3 Dichl-B</t>
  </si>
  <si>
    <t>1,4-Dichlo</t>
  </si>
  <si>
    <t>3,3-Dichlo</t>
  </si>
  <si>
    <t>Diethyl ph</t>
  </si>
  <si>
    <t>Dimethyl p</t>
  </si>
  <si>
    <t>Di-n-butyl</t>
  </si>
  <si>
    <t>2,4-Dinitr</t>
  </si>
  <si>
    <t>2,6-Dntoluen</t>
  </si>
  <si>
    <t>DI-N-Octpht</t>
  </si>
  <si>
    <t>1,2-Diphen</t>
  </si>
  <si>
    <t>Fluoranthe</t>
  </si>
  <si>
    <t>FLUORENE</t>
  </si>
  <si>
    <t>HCB</t>
  </si>
  <si>
    <t>HBU</t>
  </si>
  <si>
    <t>HCP</t>
  </si>
  <si>
    <t>HBE</t>
  </si>
  <si>
    <t>INDENO PYREN</t>
  </si>
  <si>
    <t>NME</t>
  </si>
  <si>
    <t>N-nitrodpra</t>
  </si>
  <si>
    <t>NPH</t>
  </si>
  <si>
    <t>1,2,4-Tcbenz</t>
  </si>
  <si>
    <t>E-001 (13267 Study) EPA 608 Eff Daily Maximum</t>
  </si>
  <si>
    <t>A-BHC</t>
  </si>
  <si>
    <t>B-BHC</t>
  </si>
  <si>
    <t>G-BHC</t>
  </si>
  <si>
    <t>Delta-BHC</t>
  </si>
  <si>
    <t>4,4'-DDD</t>
  </si>
  <si>
    <t>4,4'-DDE</t>
  </si>
  <si>
    <t>4,4'-DDT</t>
  </si>
  <si>
    <t>Endosulfan-A</t>
  </si>
  <si>
    <t>Endosulfan-B</t>
  </si>
  <si>
    <t>Endosulf SO4</t>
  </si>
  <si>
    <t>Endrin Aldeh</t>
  </si>
  <si>
    <t>Heptchl</t>
  </si>
  <si>
    <t>PCB-1016</t>
  </si>
  <si>
    <t>PCB-1221</t>
  </si>
  <si>
    <t>PCB-1232</t>
  </si>
  <si>
    <t>PCB-1242</t>
  </si>
  <si>
    <t>PCB-1248</t>
  </si>
  <si>
    <t>PCB-1254</t>
  </si>
  <si>
    <t>PCB-1260</t>
  </si>
  <si>
    <t>Lowest Criteria Basis</t>
  </si>
  <si>
    <t>Err Cnt</t>
  </si>
  <si>
    <t>PCBs sum</t>
  </si>
  <si>
    <t>Yes</t>
  </si>
  <si>
    <t xml:space="preserve">      Maximum B (B = detected max value; if all ND then B = min MDL)</t>
  </si>
  <si>
    <r>
      <t xml:space="preserve">CombList Box Information </t>
    </r>
    <r>
      <rPr>
        <b/>
        <i/>
        <sz val="10"/>
        <rFont val="Arial"/>
        <family val="2"/>
      </rPr>
      <t>(don't delete)</t>
    </r>
  </si>
  <si>
    <t>Input</t>
  </si>
  <si>
    <t>PROGRAM OUTPUT MESSAGES</t>
  </si>
  <si>
    <t>Congener_2</t>
  </si>
  <si>
    <t>Congener_1</t>
  </si>
  <si>
    <t>Congener_3</t>
  </si>
  <si>
    <t>Congener_4</t>
  </si>
  <si>
    <t>Congener_5</t>
  </si>
  <si>
    <t>Congener_6</t>
  </si>
  <si>
    <t>Congener_7</t>
  </si>
  <si>
    <t>Congener_8</t>
  </si>
  <si>
    <t>Congener_9</t>
  </si>
  <si>
    <t>Congener_10</t>
  </si>
  <si>
    <t>PCB_Sum</t>
  </si>
  <si>
    <t>Total PAH</t>
  </si>
  <si>
    <t>Congener_11</t>
  </si>
  <si>
    <t>Congener_12</t>
  </si>
  <si>
    <t>Congener_13</t>
  </si>
  <si>
    <t>Congener_14</t>
  </si>
  <si>
    <t>Pol_Name</t>
  </si>
  <si>
    <t>Congener_15</t>
  </si>
  <si>
    <t>Rodeo Sanitary District</t>
  </si>
  <si>
    <t>SumChem(1002=119+120+121+122+123+124+125)</t>
  </si>
  <si>
    <t>SumChem(1003=57+58+60+61+62+63+64+73+74+87+92+99+100)</t>
  </si>
  <si>
    <t>SUM_CHEMICAL DEFINITION TABLE</t>
  </si>
  <si>
    <t>SumChemical</t>
  </si>
  <si>
    <t>No</t>
  </si>
  <si>
    <t xml:space="preserve"> CTR #</t>
  </si>
  <si>
    <t xml:space="preserve"> Priority Pollutants</t>
  </si>
  <si>
    <t xml:space="preserve"> RPA Results[c]</t>
  </si>
  <si>
    <t xml:space="preserve"> MEC or Minimum DL [a][b]  (ug/L)</t>
  </si>
  <si>
    <t xml:space="preserve"> Governing WQO/WQC (ug/L)[d]</t>
  </si>
  <si>
    <t xml:space="preserve"> Maximum Background[a][b]  (ug/L)</t>
  </si>
  <si>
    <t>Date Range</t>
  </si>
  <si>
    <t>SumChem(1002=57+58+60+61+62+63+64+73+74+87+92+99+100)</t>
  </si>
  <si>
    <t>SumChem(125.5=119+120+121+122+123+124+125)</t>
  </si>
  <si>
    <t>SSO or Minimum Criteria</t>
  </si>
  <si>
    <t>Carino-genic? (Y/N)</t>
  </si>
  <si>
    <t>Is pollutant carcinogenic(Y/N)?</t>
  </si>
  <si>
    <t>Background (avg conc for carcinogenic HH calc)</t>
  </si>
  <si>
    <t>Average B
(for carinogenic HH WQBEL calculation)</t>
  </si>
  <si>
    <t>7) Other discharger information suggests RP?  (Yes or No)</t>
  </si>
  <si>
    <t>Step 8</t>
  </si>
  <si>
    <t>7) Does other discharger information suggest RP?</t>
  </si>
  <si>
    <t>8) Shall RWQCB establish interim monitoring requirements?</t>
  </si>
  <si>
    <t>Step 7</t>
  </si>
  <si>
    <t>calculated</t>
  </si>
  <si>
    <t>Summed over all 17 congeners with TEF factors</t>
  </si>
  <si>
    <t xml:space="preserve">If no effluent data, or all data points are ND and MinDL&gt;C, interim monitoring I(IM) s required </t>
  </si>
  <si>
    <t>EFFLUENT DATA</t>
  </si>
  <si>
    <t>OTHER INFORMATION</t>
  </si>
  <si>
    <t>Note: units are in ug/L</t>
  </si>
  <si>
    <t>Beginning Date to use effluent data (mn/dy/yr)</t>
  </si>
  <si>
    <t>Ending Date to use effluent data (mn/dy/yr)</t>
  </si>
  <si>
    <t>No Criteria</t>
  </si>
  <si>
    <t>&lt;0.5</t>
  </si>
  <si>
    <t>&lt;1.2</t>
  </si>
  <si>
    <t>&lt;1.3</t>
  </si>
  <si>
    <t>&lt;0.7</t>
  </si>
  <si>
    <t>&lt;1.6</t>
  </si>
  <si>
    <t>&lt;1.1</t>
  </si>
  <si>
    <t>&lt;1</t>
  </si>
  <si>
    <t>&lt;0.0015</t>
  </si>
  <si>
    <t>&lt;0.23</t>
  </si>
  <si>
    <t>&lt;0.52</t>
  </si>
  <si>
    <t>&lt;0.24</t>
  </si>
  <si>
    <t>&lt;0.27</t>
  </si>
  <si>
    <t>&lt;0.29</t>
  </si>
  <si>
    <t>&lt;0.38</t>
  </si>
  <si>
    <t>&lt;0.31</t>
  </si>
  <si>
    <t>&lt;0.25</t>
  </si>
  <si>
    <t>&lt;?</t>
  </si>
  <si>
    <t>No Data</t>
  </si>
  <si>
    <t>No. of  Effluent Data</t>
  </si>
  <si>
    <t>---</t>
  </si>
  <si>
    <t>Can't Determine</t>
  </si>
  <si>
    <t xml:space="preserve"> (there's no need to print this table, since applicable SSOs are placed in columns J and K)</t>
  </si>
  <si>
    <t>If B&gt;C and effluent concentration detected, effluent limitation is required</t>
  </si>
  <si>
    <t>Min. Aquatic Acute</t>
  </si>
  <si>
    <t>Min. Human Health</t>
  </si>
  <si>
    <t>Sample Descrip-tion</t>
  </si>
  <si>
    <t>Con or Half MDL</t>
  </si>
  <si>
    <t>StdDev</t>
  </si>
  <si>
    <t>Basis</t>
  </si>
  <si>
    <t>CTR HH</t>
  </si>
  <si>
    <t>BP SW</t>
  </si>
  <si>
    <t>BP FW</t>
  </si>
  <si>
    <t>BP HH</t>
  </si>
  <si>
    <t>CTR SW</t>
  </si>
  <si>
    <t>CTR FW</t>
  </si>
  <si>
    <t>2/2001 to 2/2006</t>
  </si>
  <si>
    <t>Min. Aquatic Chronic</t>
  </si>
  <si>
    <t>Rodeo SD - Dioxin Data</t>
  </si>
  <si>
    <t>Sample Description</t>
  </si>
  <si>
    <t>Sampling Date</t>
  </si>
  <si>
    <t>Qualifiers</t>
  </si>
  <si>
    <t xml:space="preserve">Concentration/Result </t>
  </si>
  <si>
    <t>ML or Dl (a)</t>
  </si>
  <si>
    <r>
      <t>MDL</t>
    </r>
    <r>
      <rPr>
        <b/>
        <sz val="8"/>
        <rFont val="Times New Roman"/>
        <family val="1"/>
      </rPr>
      <t>©</t>
    </r>
  </si>
  <si>
    <t>CAS Nos</t>
  </si>
  <si>
    <t>EPA Method</t>
  </si>
  <si>
    <t>EFFLUENT</t>
  </si>
  <si>
    <t>2,3,7,8-TCDD</t>
  </si>
  <si>
    <t>pg/L</t>
  </si>
  <si>
    <t>1746-01-6</t>
  </si>
  <si>
    <t>EPA Method 1613</t>
  </si>
  <si>
    <t>1,2,3,7,8 -PeCDD</t>
  </si>
  <si>
    <t>40321-76-4</t>
  </si>
  <si>
    <t>1,2,3,4,7,8-HxCDD</t>
  </si>
  <si>
    <t>39227-28-6</t>
  </si>
  <si>
    <t>1,2,3,6,7,8-HxCDD</t>
  </si>
  <si>
    <t>57653-85-7</t>
  </si>
  <si>
    <t>1,2,3,7,8,9-HxCDD</t>
  </si>
  <si>
    <t>19408-74-3</t>
  </si>
  <si>
    <t>1,2,3,4,6,7,8-HpCDD</t>
  </si>
  <si>
    <t>35822-46-9</t>
  </si>
  <si>
    <t>OCDD</t>
  </si>
  <si>
    <t>10.8 (b)</t>
  </si>
  <si>
    <t>3268-87-9</t>
  </si>
  <si>
    <t>2,3,7,8-TCDF</t>
  </si>
  <si>
    <t>51207-31-9</t>
  </si>
  <si>
    <t>1,2,3,7,8-PeCDF</t>
  </si>
  <si>
    <t>57117-41-6</t>
  </si>
  <si>
    <t>2,3,4,7,8-PeCDF</t>
  </si>
  <si>
    <t>57117-31-4</t>
  </si>
  <si>
    <t>1,2,3,4,7,8-HxCDF</t>
  </si>
  <si>
    <t>70648-26-9</t>
  </si>
  <si>
    <t>1,2,3,6,7,8-HxCDF</t>
  </si>
  <si>
    <t>57117-44-9</t>
  </si>
  <si>
    <t>2,3,4,6,7,8-HxCDF</t>
  </si>
  <si>
    <t>60851-34-5</t>
  </si>
  <si>
    <t>1,2,3,7,8,9-HxCDF</t>
  </si>
  <si>
    <t>72918-21-9</t>
  </si>
  <si>
    <t>1,2,3,4,6,7,8-HpCDF</t>
  </si>
  <si>
    <t>67562-39-4</t>
  </si>
  <si>
    <t>1,2,3,4,7,8,9-HpCDF</t>
  </si>
  <si>
    <t>55673-89-7</t>
  </si>
  <si>
    <t>OCDF</t>
  </si>
  <si>
    <t>39001-02-0</t>
  </si>
  <si>
    <t>a. Sample specific estimated detection limit</t>
  </si>
  <si>
    <t>b. Estimated maximum possible concentration</t>
  </si>
  <si>
    <t>c. Method detection limit</t>
  </si>
  <si>
    <t xml:space="preserve">Concentration/Result  </t>
  </si>
  <si>
    <t>2.95 (b)</t>
  </si>
  <si>
    <t>Concentration/Result</t>
  </si>
  <si>
    <t>ML or DL</t>
  </si>
  <si>
    <t>0.59 (b)</t>
  </si>
  <si>
    <t>October 2002</t>
  </si>
  <si>
    <t>May 2003</t>
  </si>
  <si>
    <t>October 2003</t>
  </si>
  <si>
    <t>May 2004</t>
  </si>
  <si>
    <t>October 2004</t>
  </si>
  <si>
    <t>May 2005</t>
  </si>
  <si>
    <t>Compound</t>
  </si>
  <si>
    <t>1,2,3,4,6,7,8 - HpCDD</t>
  </si>
  <si>
    <t xml:space="preserve">Notes: </t>
  </si>
  <si>
    <t>1. All data are in ug/L</t>
  </si>
  <si>
    <t>2. All coumpounds in the EPA 1613 test were ND unless list specifically in this table</t>
  </si>
  <si>
    <t xml:space="preserve">Concentration/Result (pg/L) </t>
  </si>
  <si>
    <t xml:space="preserve">Concentration/Result (ug/L) </t>
  </si>
  <si>
    <t>TEF</t>
  </si>
  <si>
    <t>TEQ (ug/L)</t>
  </si>
  <si>
    <t>Sum for Sample (ug/L)</t>
  </si>
  <si>
    <t>Rodeo SD - Dioxin Data - Detects Only</t>
  </si>
  <si>
    <t>Summary of Feasibility  Analysis and Interim Limit Calculations- Rodeo</t>
  </si>
  <si>
    <t>CTR No.</t>
  </si>
  <si>
    <t>Analyte</t>
  </si>
  <si>
    <t>Number of Samples</t>
  </si>
  <si>
    <t>Number of NDs</t>
  </si>
  <si>
    <t>Percent ND</t>
  </si>
  <si>
    <t>Lowest Criteria (ug/L)</t>
  </si>
  <si>
    <t>MEC (ug/L)</t>
  </si>
  <si>
    <t>Background Maximum Concentration (ug/L)</t>
  </si>
  <si>
    <t>Best Fit Distribution</t>
  </si>
  <si>
    <t>Sample Mean</t>
  </si>
  <si>
    <t>Sample Standard Deviation</t>
  </si>
  <si>
    <r>
      <t>95</t>
    </r>
    <r>
      <rPr>
        <b/>
        <vertAlign val="superscript"/>
        <sz val="10"/>
        <rFont val="Arial"/>
        <family val="2"/>
      </rPr>
      <t>th</t>
    </r>
    <r>
      <rPr>
        <b/>
        <sz val="10"/>
        <rFont val="Arial"/>
        <family val="2"/>
      </rPr>
      <t xml:space="preserve"> / AMEL</t>
    </r>
  </si>
  <si>
    <r>
      <t>99</t>
    </r>
    <r>
      <rPr>
        <b/>
        <vertAlign val="superscript"/>
        <sz val="10"/>
        <rFont val="Arial"/>
        <family val="2"/>
      </rPr>
      <t>th</t>
    </r>
    <r>
      <rPr>
        <b/>
        <sz val="10"/>
        <rFont val="Arial"/>
        <family val="2"/>
      </rPr>
      <t xml:space="preserve"> / MDEL</t>
    </r>
  </si>
  <si>
    <t>Mean / LTA</t>
  </si>
  <si>
    <t>Feasible to Comply?</t>
  </si>
  <si>
    <r>
      <t>Limit from Previous Permit and Type, If Available</t>
    </r>
    <r>
      <rPr>
        <b/>
        <sz val="12"/>
        <rFont val="Arial"/>
        <family val="2"/>
      </rPr>
      <t xml:space="preserve"> </t>
    </r>
    <r>
      <rPr>
        <b/>
        <vertAlign val="superscript"/>
        <sz val="12"/>
        <rFont val="Arial"/>
        <family val="2"/>
      </rPr>
      <t>(4)</t>
    </r>
  </si>
  <si>
    <t>Interim Limit (PBEL), If Necessary</t>
  </si>
  <si>
    <t>MEC =&gt; C [68 ug/l vs 64.12 ug/l]</t>
  </si>
  <si>
    <t>Normal</t>
  </si>
  <si>
    <t>&lt;</t>
  </si>
  <si>
    <r>
      <t>No Limit</t>
    </r>
    <r>
      <rPr>
        <sz val="12"/>
        <rFont val="Arial"/>
        <family val="2"/>
      </rPr>
      <t xml:space="preserve"> </t>
    </r>
    <r>
      <rPr>
        <vertAlign val="superscript"/>
        <sz val="12"/>
        <rFont val="Arial"/>
        <family val="2"/>
      </rPr>
      <t>(3)</t>
    </r>
  </si>
  <si>
    <t>n/a</t>
  </si>
  <si>
    <t>MEC =&gt; C [8.0 ug/l vs 1.0 ug/l]</t>
  </si>
  <si>
    <t>Log-Normal</t>
  </si>
  <si>
    <t>&gt;</t>
  </si>
  <si>
    <r>
      <t>No</t>
    </r>
    <r>
      <rPr>
        <vertAlign val="superscript"/>
        <sz val="14"/>
        <rFont val="Arial"/>
        <family val="2"/>
      </rPr>
      <t>(8)</t>
    </r>
  </si>
  <si>
    <t>12 (Daily Maximum) - Interim Limit</t>
  </si>
  <si>
    <r>
      <t>7.63</t>
    </r>
    <r>
      <rPr>
        <sz val="12"/>
        <rFont val="Arial"/>
        <family val="2"/>
      </rPr>
      <t xml:space="preserve"> </t>
    </r>
    <r>
      <rPr>
        <vertAlign val="superscript"/>
        <sz val="12"/>
        <rFont val="Arial"/>
        <family val="2"/>
      </rPr>
      <t>(6)</t>
    </r>
  </si>
  <si>
    <t>16-TEQ</t>
  </si>
  <si>
    <t>MEC =&gt; C [4.14E-08 ug/l vs 1.4E-08 ug/l]</t>
  </si>
  <si>
    <t xml:space="preserve">Not enough data </t>
  </si>
  <si>
    <r>
      <t>4.14E-08</t>
    </r>
    <r>
      <rPr>
        <sz val="12"/>
        <rFont val="Arial"/>
        <family val="2"/>
      </rPr>
      <t xml:space="preserve"> </t>
    </r>
    <r>
      <rPr>
        <vertAlign val="superscript"/>
        <sz val="12"/>
        <rFont val="Arial"/>
        <family val="2"/>
      </rPr>
      <t>(2)</t>
    </r>
  </si>
  <si>
    <t>(1)</t>
  </si>
  <si>
    <r>
      <t xml:space="preserve">4.14E-8 </t>
    </r>
    <r>
      <rPr>
        <vertAlign val="superscript"/>
        <sz val="10"/>
        <rFont val="Arial"/>
        <family val="0"/>
      </rPr>
      <t>(2)</t>
    </r>
  </si>
  <si>
    <r>
      <t>No</t>
    </r>
    <r>
      <rPr>
        <sz val="12"/>
        <rFont val="Arial"/>
        <family val="2"/>
      </rPr>
      <t xml:space="preserve"> </t>
    </r>
    <r>
      <rPr>
        <vertAlign val="superscript"/>
        <sz val="12"/>
        <rFont val="Arial"/>
        <family val="2"/>
      </rPr>
      <t>(5)</t>
    </r>
  </si>
  <si>
    <r>
      <t xml:space="preserve">No Limit </t>
    </r>
    <r>
      <rPr>
        <vertAlign val="superscript"/>
        <sz val="10"/>
        <rFont val="Arial"/>
        <family val="2"/>
      </rPr>
      <t>(3)</t>
    </r>
  </si>
  <si>
    <r>
      <t>No Limit</t>
    </r>
    <r>
      <rPr>
        <sz val="12"/>
        <rFont val="Arial"/>
        <family val="2"/>
      </rPr>
      <t xml:space="preserve"> </t>
    </r>
    <r>
      <rPr>
        <vertAlign val="superscript"/>
        <sz val="12"/>
        <rFont val="Arial"/>
        <family val="2"/>
      </rPr>
      <t>(7)</t>
    </r>
  </si>
  <si>
    <t>119-125</t>
  </si>
  <si>
    <t>PCBs Sum</t>
  </si>
  <si>
    <t>-----</t>
  </si>
  <si>
    <t>Effluent MDL &gt; C, Interim Monitor</t>
  </si>
  <si>
    <t>Effluent Data all ND</t>
  </si>
  <si>
    <t>(4)</t>
  </si>
  <si>
    <t>Unable to Determine</t>
  </si>
  <si>
    <t>Trigger 3 (303(d) listed pollutant/fish tissue)</t>
  </si>
  <si>
    <t>inverse (1/x)</t>
  </si>
  <si>
    <t>0.087 (Daily max) - Interim Limit</t>
  </si>
  <si>
    <t>Notes:</t>
  </si>
  <si>
    <t>Effluent data for the RPA is from February 2001 to February 2006.  Background data for toxics is generated by the San Francisco Estuary Institute's Regional Monitoring Program (RMP).  For this RPA, background data for toxics was from the Yerba Buena Island RMP station (BC10) from March 1993 to August 2003.</t>
  </si>
  <si>
    <t>All values in ug/L.</t>
  </si>
  <si>
    <t xml:space="preserve">When results for an analyte are found to be log-normally distributed, the sample mean and standard deviation are expressed using transformed (natural log conversion) data.  The 95th, 99th, and PBEL values have been converted back into real concentrations. </t>
  </si>
  <si>
    <t xml:space="preserve">Mean and standard deviation values for copper calculated with censored data using Minitab software. </t>
  </si>
  <si>
    <t>Not detected in background data</t>
  </si>
  <si>
    <t>No comparison possible.  Not enough data.</t>
  </si>
  <si>
    <t>(2)</t>
  </si>
  <si>
    <t xml:space="preserve">Value calculated using Toxicity Equivalency Factors (TEFs).  Of three congeners detected (1,2,3,4,6,7,8-HpCDD, OCDD, and OCDF), 1,2,3,4,6,7,8-HpCDD had highest contribution to total due to the high TEF (0.01).   </t>
  </si>
  <si>
    <t>(3)</t>
  </si>
  <si>
    <t>Previous permit did not include effluent limits for this pollutant.</t>
  </si>
  <si>
    <t xml:space="preserve">Previous limits from Rodeo NPDES Permit. </t>
  </si>
  <si>
    <t>(5)</t>
  </si>
  <si>
    <t xml:space="preserve">Due to limited data, a statistical analysis of 'feasibility to comply' is not possible; however, a comparison of the maximum observed effluent concentration (0.0000000414 ug/L) with final effluent limitations (0.000000014 and 0.000000028 ug/L, AMEL and MDEL, respectively) shows that it would not be feasible to comply. </t>
  </si>
  <si>
    <t>(6)</t>
  </si>
  <si>
    <t>Based on the 99.87 percentile performance level (i.e., the 99.87 percentile of observed effluent concentrations)</t>
  </si>
  <si>
    <t>(7)</t>
  </si>
  <si>
    <t>Because the previous permit did not include an effluent limitation for dioxin-TEQ and there is insufficient data to calculate a performance based interim limit, an interim limit cannot be determined. Because dioxin-TEQ is a Basin Plan WQO and not from the CTR-SIP, the SIP requirement for an interim limit does not apply here, and therefore an interim limit will not be included in permit.</t>
  </si>
  <si>
    <t>(8)</t>
  </si>
  <si>
    <t>Because there are too many non-detects, the feasibility is determined by comparing the AMEL with MEC. Since MEC(8 ug/L) &gt; AMEL(4 ug/L), infeasibility concluded.</t>
  </si>
  <si>
    <t>SELECT LOGNORMAL PLOT - CYANIDE</t>
  </si>
  <si>
    <t>SELECT LOGNORMAL PLOT - ZINC</t>
  </si>
  <si>
    <t xml:space="preserve">c. Acronyms in the "Final Result" column: </t>
  </si>
  <si>
    <t>2,3,7,8 TCDD</t>
  </si>
  <si>
    <t>6.3 E-07</t>
  </si>
  <si>
    <t>3.5 E-07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</si>
</sst>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0.000000000"/>
    <numFmt numFmtId="169" formatCode="0.00000"/>
    <numFmt numFmtId="170" formatCode="#,##0.00000"/>
    <numFmt numFmtId="171" formatCode="#,##0.0000"/>
    <numFmt numFmtId="172" formatCode="0.0000"/>
    <numFmt numFmtId="173" formatCode="0.0E+00"/>
    <numFmt numFmtId="174" formatCode="mm/dd/yy"/>
    <numFmt numFmtId="175" formatCode="m/d/yy"/>
    <numFmt numFmtId="176" formatCode="[$-409]mmm\-yy;@"/>
    <numFmt numFmtId="177" formatCode="[$-409]dddd\,\ mmmm\ dd\,\ yyyy"/>
    <numFmt numFmtId="178" formatCode="[$-409]h:mm:ss\ AM/PM"/>
    <numFmt numFmtId="179" formatCode="mmmm\ d\,\ yyyy"/>
    <numFmt numFmtId="180" formatCode="mm/dd/yyyy"/>
    <numFmt numFmtId="181" formatCode="0."/>
  </numFmts>
  <fonts count="61">
    <font>
      <sz val="10"/>
      <name val="Arial"/>
      <family val="0"/>
    </font>
    <font>
      <u val="single"/>
      <sz val="10"/>
      <color indexed="36"/>
      <name val="Arial"/>
      <family val="0"/>
    </font>
    <font>
      <u val="single"/>
      <sz val="10"/>
      <color indexed="12"/>
      <name val="Arial"/>
      <family val="0"/>
    </font>
    <font>
      <sz val="10"/>
      <name val="Geneva"/>
      <family val="0"/>
    </font>
    <font>
      <b/>
      <sz val="10"/>
      <name val="Arial"/>
      <family val="2"/>
    </font>
    <font>
      <b/>
      <sz val="12"/>
      <name val="Arial"/>
      <family val="2"/>
    </font>
    <font>
      <i/>
      <sz val="10"/>
      <color indexed="8"/>
      <name val="Arial"/>
      <family val="2"/>
    </font>
    <font>
      <i/>
      <sz val="10"/>
      <name val="Arial"/>
      <family val="2"/>
    </font>
    <font>
      <b/>
      <sz val="8"/>
      <name val="Arial"/>
      <family val="2"/>
    </font>
    <font>
      <sz val="10"/>
      <name val="Symbol"/>
      <family val="1"/>
    </font>
    <font>
      <sz val="8"/>
      <name val="Arial"/>
      <family val="2"/>
    </font>
    <font>
      <sz val="9"/>
      <name val="Arial"/>
      <family val="2"/>
    </font>
    <font>
      <sz val="8"/>
      <name val="Tahoma"/>
      <family val="0"/>
    </font>
    <font>
      <b/>
      <sz val="8"/>
      <name val="Tahoma"/>
      <family val="0"/>
    </font>
    <font>
      <sz val="8"/>
      <color indexed="48"/>
      <name val="Arial"/>
      <family val="2"/>
    </font>
    <font>
      <i/>
      <sz val="8"/>
      <name val="Arial"/>
      <family val="2"/>
    </font>
    <font>
      <b/>
      <sz val="10"/>
      <color indexed="10"/>
      <name val="Arial"/>
      <family val="2"/>
    </font>
    <font>
      <sz val="8"/>
      <color indexed="12"/>
      <name val="Arial"/>
      <family val="2"/>
    </font>
    <font>
      <sz val="10"/>
      <color indexed="8"/>
      <name val="Arial"/>
      <family val="2"/>
    </font>
    <font>
      <b/>
      <sz val="10"/>
      <color indexed="8"/>
      <name val="Arial"/>
      <family val="2"/>
    </font>
    <font>
      <sz val="9"/>
      <color indexed="10"/>
      <name val="Arial"/>
      <family val="2"/>
    </font>
    <font>
      <b/>
      <sz val="9"/>
      <name val="Arial"/>
      <family val="2"/>
    </font>
    <font>
      <sz val="10"/>
      <color indexed="48"/>
      <name val="Arial"/>
      <family val="2"/>
    </font>
    <font>
      <sz val="10"/>
      <color indexed="12"/>
      <name val="Arial"/>
      <family val="2"/>
    </font>
    <font>
      <sz val="8"/>
      <color indexed="8"/>
      <name val="Arial"/>
      <family val="2"/>
    </font>
    <font>
      <b/>
      <i/>
      <sz val="10"/>
      <name val="Arial"/>
      <family val="2"/>
    </font>
    <font>
      <b/>
      <sz val="10"/>
      <color indexed="18"/>
      <name val="Arial"/>
      <family val="2"/>
    </font>
    <font>
      <b/>
      <sz val="10"/>
      <name val="Tahoma"/>
      <family val="2"/>
    </font>
    <font>
      <sz val="10"/>
      <name val="Tahoma"/>
      <family val="2"/>
    </font>
    <font>
      <sz val="10"/>
      <color indexed="53"/>
      <name val="Tahoma"/>
      <family val="2"/>
    </font>
    <font>
      <i/>
      <sz val="9"/>
      <name val="Arial"/>
      <family val="2"/>
    </font>
    <font>
      <b/>
      <sz val="8"/>
      <color indexed="8"/>
      <name val="Arial"/>
      <family val="2"/>
    </font>
    <font>
      <b/>
      <sz val="8"/>
      <color indexed="12"/>
      <name val="Arial"/>
      <family val="2"/>
    </font>
    <font>
      <b/>
      <i/>
      <sz val="10"/>
      <color indexed="20"/>
      <name val="Arial"/>
      <family val="2"/>
    </font>
    <font>
      <b/>
      <u val="single"/>
      <sz val="8"/>
      <color indexed="8"/>
      <name val="Times New Roman"/>
      <family val="1"/>
    </font>
    <font>
      <sz val="8"/>
      <name val="Times New Roman"/>
      <family val="1"/>
    </font>
    <font>
      <sz val="8"/>
      <color indexed="16"/>
      <name val="Times New Roman"/>
      <family val="1"/>
    </font>
    <font>
      <b/>
      <sz val="8"/>
      <color indexed="8"/>
      <name val="Times New Roman"/>
      <family val="1"/>
    </font>
    <font>
      <sz val="8"/>
      <color indexed="16"/>
      <name val="Arial"/>
      <family val="0"/>
    </font>
    <font>
      <b/>
      <sz val="8"/>
      <color indexed="8"/>
      <name val="Tahoma"/>
      <family val="2"/>
    </font>
    <font>
      <sz val="9"/>
      <name val="Tahoma"/>
      <family val="2"/>
    </font>
    <font>
      <b/>
      <sz val="9"/>
      <name val="Tahoma"/>
      <family val="2"/>
    </font>
    <font>
      <sz val="10"/>
      <name val="Times New Roman"/>
      <family val="1"/>
    </font>
    <font>
      <b/>
      <sz val="10"/>
      <name val="Times New Roman"/>
      <family val="1"/>
    </font>
    <font>
      <b/>
      <i/>
      <sz val="10"/>
      <color indexed="8"/>
      <name val="Arial"/>
      <family val="2"/>
    </font>
    <font>
      <i/>
      <sz val="10"/>
      <name val="Times New Roman"/>
      <family val="1"/>
    </font>
    <font>
      <sz val="10"/>
      <color indexed="8"/>
      <name val="Times New Roman"/>
      <family val="1"/>
    </font>
    <font>
      <sz val="11"/>
      <name val="Arial"/>
      <family val="0"/>
    </font>
    <font>
      <i/>
      <sz val="10"/>
      <color indexed="20"/>
      <name val="Arial"/>
      <family val="2"/>
    </font>
    <font>
      <b/>
      <i/>
      <sz val="8"/>
      <color indexed="8"/>
      <name val="Arial"/>
      <family val="2"/>
    </font>
    <font>
      <b/>
      <sz val="9"/>
      <name val="Times New Roman"/>
      <family val="1"/>
    </font>
    <font>
      <b/>
      <i/>
      <sz val="8"/>
      <name val="Arial"/>
      <family val="2"/>
    </font>
    <font>
      <b/>
      <u val="single"/>
      <sz val="12"/>
      <color indexed="16"/>
      <name val="Arial"/>
      <family val="2"/>
    </font>
    <font>
      <b/>
      <u val="single"/>
      <sz val="8"/>
      <name val="Times New Roman"/>
      <family val="1"/>
    </font>
    <font>
      <b/>
      <sz val="8"/>
      <name val="Times New Roman"/>
      <family val="1"/>
    </font>
    <font>
      <b/>
      <vertAlign val="superscript"/>
      <sz val="10"/>
      <name val="Arial"/>
      <family val="2"/>
    </font>
    <font>
      <b/>
      <vertAlign val="superscript"/>
      <sz val="12"/>
      <name val="Arial"/>
      <family val="2"/>
    </font>
    <font>
      <sz val="12"/>
      <name val="Arial"/>
      <family val="0"/>
    </font>
    <font>
      <vertAlign val="superscript"/>
      <sz val="12"/>
      <name val="Arial"/>
      <family val="2"/>
    </font>
    <font>
      <vertAlign val="superscript"/>
      <sz val="14"/>
      <name val="Arial"/>
      <family val="2"/>
    </font>
    <font>
      <vertAlign val="superscript"/>
      <sz val="10"/>
      <name val="Arial"/>
      <family val="0"/>
    </font>
  </fonts>
  <fills count="9">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s>
  <borders count="148">
    <border>
      <left/>
      <right/>
      <top/>
      <bottom/>
      <diagonal/>
    </border>
    <border>
      <left style="thin"/>
      <right style="double"/>
      <top>
        <color indexed="63"/>
      </top>
      <bottom style="thin"/>
    </border>
    <border>
      <left style="thin"/>
      <right style="double"/>
      <top style="thin"/>
      <bottom style="thin"/>
    </border>
    <border>
      <left style="thin"/>
      <right style="thin"/>
      <top style="thin"/>
      <bottom style="thin"/>
    </border>
    <border>
      <left style="double"/>
      <right style="thin"/>
      <top>
        <color indexed="63"/>
      </top>
      <bottom style="thin"/>
    </border>
    <border>
      <left style="thin"/>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double"/>
      <right style="double"/>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double"/>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double"/>
      <right style="thin"/>
      <top style="double"/>
      <bottom style="thin"/>
    </border>
    <border>
      <left style="thin"/>
      <right style="double"/>
      <top style="double"/>
      <bottom style="thin"/>
    </border>
    <border>
      <left>
        <color indexed="63"/>
      </left>
      <right style="double"/>
      <top style="double"/>
      <bottom>
        <color indexed="63"/>
      </bottom>
    </border>
    <border>
      <left style="double"/>
      <right style="thin"/>
      <top style="double"/>
      <bottom style="medium"/>
    </border>
    <border>
      <left>
        <color indexed="63"/>
      </left>
      <right style="medium"/>
      <top style="double"/>
      <bottom style="medium"/>
    </border>
    <border>
      <left style="thin"/>
      <right style="thin"/>
      <top style="double"/>
      <bottom>
        <color indexed="63"/>
      </bottom>
    </border>
    <border>
      <left style="double"/>
      <right style="double"/>
      <top style="thin"/>
      <bottom style="thin"/>
    </border>
    <border>
      <left>
        <color indexed="63"/>
      </left>
      <right style="thin"/>
      <top>
        <color indexed="63"/>
      </top>
      <bottom style="medium"/>
    </border>
    <border>
      <left style="double"/>
      <right style="thin"/>
      <top>
        <color indexed="63"/>
      </top>
      <bottom style="medium"/>
    </border>
    <border>
      <left style="thin"/>
      <right style="double"/>
      <top>
        <color indexed="63"/>
      </top>
      <bottom style="medium"/>
    </border>
    <border>
      <left style="thin"/>
      <right style="thin"/>
      <top style="thin"/>
      <bottom style="double"/>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thin"/>
      <right style="thin"/>
      <top style="thin"/>
      <bottom style="mediu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double"/>
      <right style="thin"/>
      <top style="medium"/>
      <bottom style="thin"/>
    </border>
    <border>
      <left style="thin"/>
      <right style="double"/>
      <top style="medium"/>
      <bottom style="thin"/>
    </border>
    <border>
      <left style="double"/>
      <right style="thin"/>
      <top style="thin"/>
      <bottom style="double"/>
    </border>
    <border>
      <left style="thin"/>
      <right style="double"/>
      <top style="thin"/>
      <bottom style="double"/>
    </border>
    <border>
      <left style="thin"/>
      <right>
        <color indexed="63"/>
      </right>
      <top style="thin"/>
      <bottom style="medium"/>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hair"/>
    </border>
    <border>
      <left style="thin"/>
      <right style="double"/>
      <top style="hair"/>
      <bottom style="hair"/>
    </border>
    <border>
      <left style="thin"/>
      <right style="double"/>
      <top style="hair"/>
      <bottom style="double"/>
    </border>
    <border>
      <left style="thin"/>
      <right>
        <color indexed="63"/>
      </right>
      <top style="double"/>
      <bottom style="thin"/>
    </border>
    <border>
      <left>
        <color indexed="63"/>
      </left>
      <right style="thin"/>
      <top style="double"/>
      <bottom style="thin"/>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medium"/>
      <right style="thin"/>
      <top style="double"/>
      <bottom style="thin"/>
    </border>
    <border>
      <left style="thin"/>
      <right style="medium"/>
      <top style="double"/>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double"/>
    </border>
    <border>
      <left style="thin"/>
      <right style="medium"/>
      <top style="hair"/>
      <bottom style="double"/>
    </border>
    <border>
      <left style="double"/>
      <right>
        <color indexed="63"/>
      </right>
      <top style="double"/>
      <bottom style="thin"/>
    </border>
    <border>
      <left style="double"/>
      <right>
        <color indexed="63"/>
      </right>
      <top>
        <color indexed="63"/>
      </top>
      <bottom style="hair"/>
    </border>
    <border>
      <left style="double"/>
      <right>
        <color indexed="63"/>
      </right>
      <top style="hair"/>
      <bottom style="hair"/>
    </border>
    <border>
      <left style="double"/>
      <right>
        <color indexed="63"/>
      </right>
      <top style="hair"/>
      <bottom style="double"/>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double"/>
      <right style="double"/>
      <top>
        <color indexed="63"/>
      </top>
      <bottom style="medium"/>
    </border>
    <border>
      <left style="double"/>
      <right>
        <color indexed="63"/>
      </right>
      <top>
        <color indexed="63"/>
      </top>
      <bottom style="medium"/>
    </border>
    <border>
      <left style="medium"/>
      <right style="thin"/>
      <top>
        <color indexed="63"/>
      </top>
      <bottom style="medium"/>
    </border>
    <border>
      <left style="double"/>
      <right style="thin"/>
      <top style="thin"/>
      <bottom>
        <color indexed="63"/>
      </bottom>
    </border>
    <border>
      <left style="double"/>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double"/>
      <bottom style="medium"/>
    </border>
    <border>
      <left>
        <color indexed="63"/>
      </left>
      <right style="double"/>
      <top style="double"/>
      <bottom style="medium"/>
    </border>
    <border>
      <left style="hair"/>
      <right style="hair"/>
      <top style="hair"/>
      <bottom style="hair"/>
    </border>
    <border>
      <left style="hair"/>
      <right style="thin"/>
      <top style="hair"/>
      <bottom style="hair"/>
    </border>
    <border>
      <left style="hair"/>
      <right style="hair"/>
      <top style="thin"/>
      <bottom style="hair"/>
    </border>
    <border>
      <left style="thin"/>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color indexed="63"/>
      </top>
      <bottom>
        <color indexed="63"/>
      </bottom>
    </border>
    <border>
      <left style="thin"/>
      <right style="thin"/>
      <top style="double"/>
      <bottom style="thin"/>
    </border>
    <border>
      <left style="double"/>
      <right>
        <color indexed="63"/>
      </right>
      <top style="medium"/>
      <bottom style="double"/>
    </border>
    <border>
      <left>
        <color indexed="63"/>
      </left>
      <right>
        <color indexed="63"/>
      </right>
      <top style="medium"/>
      <bottom style="double"/>
    </border>
    <border>
      <left style="double"/>
      <right style="thin"/>
      <top style="thin"/>
      <bottom style="medium"/>
    </border>
    <border>
      <left>
        <color indexed="63"/>
      </left>
      <right style="thin"/>
      <top style="thin"/>
      <bottom style="medium"/>
    </border>
    <border>
      <left style="double"/>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double"/>
      <right>
        <color indexed="63"/>
      </right>
      <top style="double"/>
      <bottom style="medium"/>
    </border>
    <border>
      <left style="double"/>
      <right style="double"/>
      <top style="double"/>
      <bottom style="medium"/>
    </border>
    <border>
      <left style="thin"/>
      <right style="double"/>
      <top style="thin"/>
      <bottom style="medium"/>
    </border>
    <border>
      <left style="thin"/>
      <right style="double"/>
      <top style="thin"/>
      <bottom>
        <color indexed="63"/>
      </bottom>
    </border>
    <border>
      <left style="double"/>
      <right>
        <color indexed="63"/>
      </right>
      <top style="thin"/>
      <bottom style="medium"/>
    </border>
    <border>
      <left style="medium"/>
      <right style="thin"/>
      <top style="thin"/>
      <bottom style="medium"/>
    </border>
    <border>
      <left>
        <color indexed="63"/>
      </left>
      <right>
        <color indexed="63"/>
      </right>
      <top style="medium"/>
      <bottom style="medium"/>
    </border>
    <border>
      <left style="thin"/>
      <right style="double"/>
      <top style="medium"/>
      <bottom style="medium"/>
    </border>
    <border>
      <left style="double"/>
      <right>
        <color indexed="63"/>
      </right>
      <top style="medium"/>
      <bottom style="medium"/>
    </border>
    <border>
      <left style="double"/>
      <right style="double"/>
      <top style="medium"/>
      <bottom style="medium"/>
    </border>
    <border>
      <left style="double"/>
      <right style="double"/>
      <top style="medium"/>
      <bottom style="thin"/>
    </border>
    <border>
      <left style="thin"/>
      <right style="thin"/>
      <top style="medium"/>
      <bottom style="thin"/>
    </border>
    <border>
      <left>
        <color indexed="63"/>
      </left>
      <right style="double"/>
      <top style="medium"/>
      <bottom>
        <color indexed="63"/>
      </bottom>
    </border>
    <border>
      <left>
        <color indexed="63"/>
      </left>
      <right style="double"/>
      <top>
        <color indexed="63"/>
      </top>
      <bottom style="medium"/>
    </border>
    <border>
      <left>
        <color indexed="63"/>
      </left>
      <right style="thin"/>
      <top style="hair"/>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double"/>
      <bottom>
        <color indexed="63"/>
      </bottom>
    </border>
    <border>
      <left>
        <color indexed="63"/>
      </left>
      <right style="double"/>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style="medium"/>
      <bottom style="double"/>
    </border>
    <border>
      <left>
        <color indexed="63"/>
      </left>
      <right>
        <color indexed="63"/>
      </right>
      <top style="double"/>
      <bottom style="thin"/>
    </border>
    <border>
      <left style="double"/>
      <right style="thin"/>
      <top style="double"/>
      <bottom>
        <color indexed="63"/>
      </bottom>
    </border>
    <border>
      <left style="double"/>
      <right style="thin"/>
      <top>
        <color indexed="63"/>
      </top>
      <bottom style="thick"/>
    </border>
    <border>
      <left>
        <color indexed="63"/>
      </left>
      <right style="thin"/>
      <top style="medium"/>
      <bottom>
        <color indexed="63"/>
      </bottom>
    </border>
    <border>
      <left style="thin"/>
      <right style="thin"/>
      <top>
        <color indexed="63"/>
      </top>
      <bottom style="thick"/>
    </border>
    <border>
      <left style="thin"/>
      <right style="double"/>
      <top>
        <color indexed="63"/>
      </top>
      <bottom>
        <color indexed="63"/>
      </bottom>
    </border>
    <border>
      <left style="double"/>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86">
    <xf numFmtId="0" fontId="0" fillId="0" borderId="0" xfId="0" applyAlignment="1">
      <alignment/>
    </xf>
    <xf numFmtId="0" fontId="0" fillId="0" borderId="0" xfId="0" applyAlignment="1">
      <alignment horizontal="left"/>
    </xf>
    <xf numFmtId="0" fontId="0" fillId="0" borderId="1" xfId="0" applyBorder="1" applyAlignment="1">
      <alignment/>
    </xf>
    <xf numFmtId="0" fontId="0" fillId="0" borderId="0" xfId="0" applyAlignment="1">
      <alignment horizontal="center"/>
    </xf>
    <xf numFmtId="0" fontId="0" fillId="0" borderId="2" xfId="0" applyBorder="1" applyAlignment="1">
      <alignment/>
    </xf>
    <xf numFmtId="0" fontId="0" fillId="0" borderId="3" xfId="0" applyFont="1" applyBorder="1" applyAlignment="1">
      <alignment horizontal="left"/>
    </xf>
    <xf numFmtId="0" fontId="0" fillId="0" borderId="0" xfId="0" applyFont="1" applyAlignment="1">
      <alignment/>
    </xf>
    <xf numFmtId="0" fontId="0" fillId="0" borderId="3" xfId="0" applyFont="1" applyBorder="1" applyAlignment="1">
      <alignment/>
    </xf>
    <xf numFmtId="0" fontId="0" fillId="0" borderId="2" xfId="0" applyFont="1" applyBorder="1" applyAlignment="1">
      <alignment/>
    </xf>
    <xf numFmtId="0" fontId="0" fillId="0" borderId="0" xfId="0" applyFill="1" applyAlignment="1">
      <alignment/>
    </xf>
    <xf numFmtId="0" fontId="1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11" fillId="0" borderId="0" xfId="0" applyFont="1" applyAlignment="1">
      <alignment horizontal="left"/>
    </xf>
    <xf numFmtId="0" fontId="0" fillId="0" borderId="0" xfId="0" applyFont="1" applyAlignment="1">
      <alignment/>
    </xf>
    <xf numFmtId="0" fontId="11" fillId="0" borderId="0" xfId="0" applyFont="1" applyAlignment="1">
      <alignment/>
    </xf>
    <xf numFmtId="0" fontId="11"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xf>
    <xf numFmtId="165" fontId="10" fillId="0" borderId="3" xfId="0" applyNumberFormat="1" applyFont="1" applyBorder="1" applyAlignment="1">
      <alignment/>
    </xf>
    <xf numFmtId="172" fontId="0" fillId="0" borderId="0" xfId="0" applyNumberFormat="1" applyAlignment="1">
      <alignment/>
    </xf>
    <xf numFmtId="0" fontId="0" fillId="0" borderId="0" xfId="0" applyAlignment="1">
      <alignment wrapText="1"/>
    </xf>
    <xf numFmtId="0" fontId="10" fillId="0" borderId="0" xfId="0" applyFont="1" applyBorder="1" applyAlignment="1">
      <alignment/>
    </xf>
    <xf numFmtId="0" fontId="0" fillId="0" borderId="4" xfId="0" applyBorder="1" applyAlignment="1">
      <alignment/>
    </xf>
    <xf numFmtId="172" fontId="0" fillId="0" borderId="4" xfId="0" applyNumberFormat="1" applyBorder="1" applyAlignment="1">
      <alignment/>
    </xf>
    <xf numFmtId="172" fontId="0" fillId="0" borderId="5" xfId="0" applyNumberFormat="1" applyBorder="1" applyAlignment="1">
      <alignment/>
    </xf>
    <xf numFmtId="172" fontId="0" fillId="0" borderId="1" xfId="0" applyNumberFormat="1" applyBorder="1" applyAlignment="1">
      <alignment/>
    </xf>
    <xf numFmtId="0" fontId="0" fillId="0" borderId="5" xfId="0" applyBorder="1" applyAlignment="1">
      <alignment/>
    </xf>
    <xf numFmtId="0" fontId="0" fillId="0" borderId="6" xfId="0" applyBorder="1" applyAlignment="1">
      <alignment/>
    </xf>
    <xf numFmtId="172" fontId="0" fillId="0" borderId="6" xfId="0" applyNumberFormat="1" applyBorder="1" applyAlignment="1">
      <alignment/>
    </xf>
    <xf numFmtId="172" fontId="0" fillId="0" borderId="3" xfId="0" applyNumberFormat="1" applyBorder="1" applyAlignment="1">
      <alignment/>
    </xf>
    <xf numFmtId="172" fontId="0" fillId="0" borderId="2" xfId="0" applyNumberFormat="1" applyBorder="1" applyAlignment="1">
      <alignment/>
    </xf>
    <xf numFmtId="0" fontId="0" fillId="0" borderId="3" xfId="0" applyBorder="1" applyAlignment="1">
      <alignment/>
    </xf>
    <xf numFmtId="172" fontId="10" fillId="0" borderId="6" xfId="0" applyNumberFormat="1" applyFont="1" applyBorder="1" applyAlignment="1">
      <alignment/>
    </xf>
    <xf numFmtId="172" fontId="10" fillId="0" borderId="3" xfId="0" applyNumberFormat="1" applyFont="1" applyBorder="1" applyAlignment="1">
      <alignment/>
    </xf>
    <xf numFmtId="172" fontId="10" fillId="0" borderId="2" xfId="0" applyNumberFormat="1" applyFont="1" applyBorder="1" applyAlignment="1">
      <alignment/>
    </xf>
    <xf numFmtId="165" fontId="10" fillId="0" borderId="6" xfId="0" applyNumberFormat="1" applyFont="1" applyBorder="1" applyAlignment="1">
      <alignment/>
    </xf>
    <xf numFmtId="0" fontId="10" fillId="0" borderId="3" xfId="0" applyFont="1" applyBorder="1" applyAlignment="1">
      <alignment/>
    </xf>
    <xf numFmtId="0" fontId="10" fillId="0" borderId="2" xfId="0" applyFont="1" applyBorder="1" applyAlignment="1">
      <alignment/>
    </xf>
    <xf numFmtId="0" fontId="10" fillId="0" borderId="6" xfId="0" applyFont="1" applyBorder="1" applyAlignment="1">
      <alignment/>
    </xf>
    <xf numFmtId="0" fontId="10" fillId="0" borderId="0" xfId="0" applyFont="1" applyFill="1" applyBorder="1" applyAlignment="1">
      <alignment/>
    </xf>
    <xf numFmtId="2" fontId="10" fillId="0" borderId="0" xfId="0" applyNumberFormat="1" applyFont="1" applyBorder="1" applyAlignment="1">
      <alignment/>
    </xf>
    <xf numFmtId="0" fontId="0" fillId="0" borderId="6" xfId="0" applyFont="1" applyBorder="1" applyAlignment="1">
      <alignment/>
    </xf>
    <xf numFmtId="172" fontId="0" fillId="0" borderId="6" xfId="0" applyNumberFormat="1" applyFont="1" applyBorder="1" applyAlignment="1">
      <alignment/>
    </xf>
    <xf numFmtId="172" fontId="0" fillId="0" borderId="3" xfId="0" applyNumberFormat="1" applyFont="1" applyBorder="1" applyAlignment="1">
      <alignment/>
    </xf>
    <xf numFmtId="172" fontId="0" fillId="0" borderId="2" xfId="0" applyNumberFormat="1" applyFont="1" applyBorder="1" applyAlignment="1">
      <alignment/>
    </xf>
    <xf numFmtId="0" fontId="10" fillId="0" borderId="0" xfId="0" applyFont="1" applyAlignment="1">
      <alignment/>
    </xf>
    <xf numFmtId="0" fontId="10" fillId="0" borderId="7" xfId="0" applyFont="1" applyBorder="1" applyAlignment="1">
      <alignment/>
    </xf>
    <xf numFmtId="0" fontId="0" fillId="0" borderId="0" xfId="0" applyFont="1" applyBorder="1" applyAlignment="1">
      <alignment horizontal="left"/>
    </xf>
    <xf numFmtId="0" fontId="0" fillId="0" borderId="8" xfId="0" applyFont="1" applyBorder="1" applyAlignment="1">
      <alignment/>
    </xf>
    <xf numFmtId="0" fontId="0" fillId="0" borderId="0" xfId="0" applyFont="1" applyBorder="1" applyAlignment="1">
      <alignment/>
    </xf>
    <xf numFmtId="0" fontId="10" fillId="0" borderId="0" xfId="0" applyFont="1" applyAlignment="1" quotePrefix="1">
      <alignment/>
    </xf>
    <xf numFmtId="0" fontId="8" fillId="0" borderId="0" xfId="0" applyFont="1" applyAlignment="1">
      <alignment/>
    </xf>
    <xf numFmtId="2" fontId="0" fillId="0" borderId="0" xfId="0" applyNumberFormat="1" applyFont="1" applyBorder="1" applyAlignment="1">
      <alignment/>
    </xf>
    <xf numFmtId="2" fontId="0" fillId="0" borderId="0" xfId="0" applyNumberFormat="1" applyAlignment="1">
      <alignment/>
    </xf>
    <xf numFmtId="2" fontId="8" fillId="0" borderId="0" xfId="0" applyNumberFormat="1" applyFont="1" applyAlignment="1">
      <alignment/>
    </xf>
    <xf numFmtId="3" fontId="0" fillId="0" borderId="9" xfId="0" applyNumberFormat="1" applyFont="1" applyFill="1" applyBorder="1" applyAlignment="1">
      <alignment horizontal="center"/>
    </xf>
    <xf numFmtId="0" fontId="0" fillId="0" borderId="0" xfId="0" applyFont="1" applyFill="1" applyBorder="1" applyAlignment="1">
      <alignment horizontal="center"/>
    </xf>
    <xf numFmtId="4" fontId="0" fillId="0" borderId="9" xfId="0" applyNumberFormat="1" applyFont="1" applyFill="1" applyBorder="1" applyAlignment="1">
      <alignment horizontal="center"/>
    </xf>
    <xf numFmtId="167" fontId="0" fillId="0" borderId="9" xfId="0" applyNumberFormat="1" applyFont="1" applyFill="1" applyBorder="1" applyAlignment="1">
      <alignment horizontal="center"/>
    </xf>
    <xf numFmtId="166" fontId="0" fillId="0" borderId="9" xfId="0" applyNumberFormat="1" applyFont="1" applyFill="1" applyBorder="1" applyAlignment="1">
      <alignment horizontal="center"/>
    </xf>
    <xf numFmtId="170" fontId="0" fillId="0" borderId="9" xfId="0" applyNumberFormat="1" applyFont="1" applyFill="1" applyBorder="1" applyAlignment="1">
      <alignment horizontal="center"/>
    </xf>
    <xf numFmtId="171" fontId="0" fillId="0" borderId="9" xfId="0" applyNumberFormat="1" applyFont="1" applyFill="1" applyBorder="1" applyAlignment="1">
      <alignment horizontal="center"/>
    </xf>
    <xf numFmtId="0" fontId="0" fillId="0" borderId="0" xfId="0" applyFon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5" xfId="0" applyFont="1" applyBorder="1" applyAlignment="1">
      <alignment horizontal="center"/>
    </xf>
    <xf numFmtId="0" fontId="0" fillId="0" borderId="5" xfId="0" applyFont="1" applyBorder="1" applyAlignment="1">
      <alignment horizontal="left"/>
    </xf>
    <xf numFmtId="0" fontId="0" fillId="0" borderId="0" xfId="0" applyFont="1" applyAlignment="1">
      <alignment/>
    </xf>
    <xf numFmtId="0" fontId="10" fillId="0" borderId="0" xfId="0" applyFont="1" applyAlignment="1">
      <alignment/>
    </xf>
    <xf numFmtId="0" fontId="10" fillId="0" borderId="5" xfId="0" applyFont="1" applyBorder="1" applyAlignment="1">
      <alignment horizontal="center"/>
    </xf>
    <xf numFmtId="0" fontId="10" fillId="0" borderId="10" xfId="0" applyFont="1" applyBorder="1" applyAlignment="1">
      <alignment horizontal="left"/>
    </xf>
    <xf numFmtId="0" fontId="10" fillId="0" borderId="3" xfId="0" applyFont="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wrapText="1"/>
    </xf>
    <xf numFmtId="0" fontId="10" fillId="0" borderId="10" xfId="0" applyFont="1" applyBorder="1" applyAlignment="1">
      <alignment horizontal="left"/>
    </xf>
    <xf numFmtId="165" fontId="10" fillId="0" borderId="3" xfId="0" applyNumberFormat="1" applyFont="1" applyBorder="1" applyAlignment="1">
      <alignment horizontal="center" wrapText="1"/>
    </xf>
    <xf numFmtId="0" fontId="10" fillId="0" borderId="10" xfId="0" applyFont="1" applyFill="1" applyBorder="1" applyAlignment="1">
      <alignment horizontal="left"/>
    </xf>
    <xf numFmtId="0" fontId="10" fillId="0" borderId="10" xfId="0" applyFont="1" applyFill="1" applyBorder="1" applyAlignment="1">
      <alignment horizontal="left"/>
    </xf>
    <xf numFmtId="0" fontId="10" fillId="0" borderId="11" xfId="0" applyFont="1" applyBorder="1" applyAlignment="1">
      <alignment horizontal="left"/>
    </xf>
    <xf numFmtId="1" fontId="10" fillId="0" borderId="3" xfId="0" applyNumberFormat="1" applyFont="1" applyBorder="1" applyAlignment="1">
      <alignment horizontal="center"/>
    </xf>
    <xf numFmtId="0" fontId="10" fillId="0" borderId="0" xfId="0" applyFont="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left"/>
    </xf>
    <xf numFmtId="0" fontId="0" fillId="0" borderId="5" xfId="0" applyFont="1" applyFill="1" applyBorder="1" applyAlignment="1">
      <alignment horizontal="left"/>
    </xf>
    <xf numFmtId="170" fontId="0" fillId="0" borderId="12" xfId="0" applyNumberFormat="1" applyFont="1" applyFill="1" applyBorder="1" applyAlignment="1">
      <alignment horizontal="center"/>
    </xf>
    <xf numFmtId="165" fontId="10" fillId="0" borderId="2" xfId="0" applyNumberFormat="1" applyFont="1" applyBorder="1" applyAlignment="1">
      <alignment/>
    </xf>
    <xf numFmtId="0" fontId="10" fillId="0" borderId="13" xfId="0" applyFont="1" applyFill="1" applyBorder="1" applyAlignment="1">
      <alignment horizontal="center"/>
    </xf>
    <xf numFmtId="0" fontId="0" fillId="2" borderId="14" xfId="0" applyFill="1" applyBorder="1" applyAlignment="1">
      <alignment horizontal="center"/>
    </xf>
    <xf numFmtId="0" fontId="15" fillId="2" borderId="15" xfId="0" applyFont="1" applyFill="1" applyBorder="1" applyAlignment="1">
      <alignment horizontal="center" wrapText="1"/>
    </xf>
    <xf numFmtId="0" fontId="10" fillId="2" borderId="15" xfId="0" applyFont="1" applyFill="1" applyBorder="1" applyAlignment="1">
      <alignment horizontal="center"/>
    </xf>
    <xf numFmtId="0" fontId="10" fillId="2" borderId="5" xfId="0" applyFont="1" applyFill="1" applyBorder="1" applyAlignment="1">
      <alignment horizontal="center"/>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10" fillId="0" borderId="19" xfId="0" applyFont="1" applyBorder="1" applyAlignment="1">
      <alignment wrapText="1"/>
    </xf>
    <xf numFmtId="1" fontId="14" fillId="0" borderId="20" xfId="0" applyNumberFormat="1" applyFont="1" applyBorder="1" applyAlignment="1">
      <alignment/>
    </xf>
    <xf numFmtId="1" fontId="10" fillId="0" borderId="20" xfId="0" applyNumberFormat="1" applyFont="1" applyBorder="1" applyAlignment="1">
      <alignment/>
    </xf>
    <xf numFmtId="164" fontId="14" fillId="0" borderId="20" xfId="0" applyNumberFormat="1" applyFont="1" applyBorder="1" applyAlignment="1">
      <alignment wrapText="1"/>
    </xf>
    <xf numFmtId="164" fontId="10" fillId="0" borderId="20" xfId="0" applyNumberFormat="1" applyFont="1" applyBorder="1" applyAlignment="1">
      <alignment wrapText="1"/>
    </xf>
    <xf numFmtId="1" fontId="14" fillId="0" borderId="20" xfId="0" applyNumberFormat="1" applyFont="1" applyBorder="1" applyAlignment="1">
      <alignment wrapText="1"/>
    </xf>
    <xf numFmtId="165" fontId="10" fillId="0" borderId="20" xfId="0" applyNumberFormat="1" applyFont="1" applyBorder="1" applyAlignment="1">
      <alignment wrapText="1"/>
    </xf>
    <xf numFmtId="0" fontId="10" fillId="0" borderId="20" xfId="0" applyFont="1" applyBorder="1" applyAlignment="1">
      <alignment wrapText="1"/>
    </xf>
    <xf numFmtId="1" fontId="10" fillId="0" borderId="20" xfId="0" applyNumberFormat="1" applyFont="1" applyBorder="1" applyAlignment="1">
      <alignment wrapText="1"/>
    </xf>
    <xf numFmtId="0" fontId="10" fillId="0" borderId="20" xfId="0" applyFont="1" applyBorder="1" applyAlignment="1">
      <alignment/>
    </xf>
    <xf numFmtId="2" fontId="10" fillId="0" borderId="20" xfId="0" applyNumberFormat="1" applyFont="1" applyBorder="1" applyAlignment="1">
      <alignment/>
    </xf>
    <xf numFmtId="169" fontId="10" fillId="0" borderId="20" xfId="0" applyNumberFormat="1" applyFont="1" applyBorder="1" applyAlignment="1">
      <alignment/>
    </xf>
    <xf numFmtId="168" fontId="10" fillId="0" borderId="20" xfId="0" applyNumberFormat="1" applyFont="1" applyBorder="1" applyAlignment="1">
      <alignment/>
    </xf>
    <xf numFmtId="0" fontId="10" fillId="0" borderId="13" xfId="0" applyFont="1" applyBorder="1" applyAlignment="1">
      <alignment/>
    </xf>
    <xf numFmtId="0" fontId="10" fillId="0" borderId="10" xfId="0" applyFont="1" applyBorder="1" applyAlignment="1">
      <alignment/>
    </xf>
    <xf numFmtId="0" fontId="10" fillId="0" borderId="10" xfId="0" applyFont="1" applyBorder="1" applyAlignment="1">
      <alignment/>
    </xf>
    <xf numFmtId="0" fontId="10" fillId="0" borderId="10" xfId="0" applyFont="1" applyFill="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21" xfId="0" applyFont="1" applyBorder="1" applyAlignment="1">
      <alignment/>
    </xf>
    <xf numFmtId="0" fontId="10" fillId="0" borderId="5" xfId="0" applyFont="1" applyBorder="1" applyAlignment="1">
      <alignment wrapText="1"/>
    </xf>
    <xf numFmtId="165" fontId="10" fillId="0" borderId="20" xfId="0" applyNumberFormat="1" applyFont="1" applyBorder="1" applyAlignment="1">
      <alignment/>
    </xf>
    <xf numFmtId="0" fontId="15" fillId="0" borderId="20" xfId="0" applyFont="1" applyBorder="1" applyAlignment="1">
      <alignment/>
    </xf>
    <xf numFmtId="0" fontId="10" fillId="0" borderId="21" xfId="0" applyFont="1" applyBorder="1" applyAlignment="1">
      <alignment wrapText="1"/>
    </xf>
    <xf numFmtId="3" fontId="10" fillId="0" borderId="22" xfId="0" applyNumberFormat="1" applyFont="1" applyBorder="1" applyAlignment="1">
      <alignment wrapText="1"/>
    </xf>
    <xf numFmtId="0" fontId="10" fillId="0" borderId="23" xfId="0" applyFont="1" applyBorder="1" applyAlignment="1">
      <alignment/>
    </xf>
    <xf numFmtId="0" fontId="10" fillId="0" borderId="23" xfId="0" applyFont="1" applyBorder="1" applyAlignment="1">
      <alignment wrapText="1"/>
    </xf>
    <xf numFmtId="1" fontId="10" fillId="0" borderId="23" xfId="0" applyNumberFormat="1" applyFont="1" applyBorder="1" applyAlignment="1">
      <alignment wrapText="1"/>
    </xf>
    <xf numFmtId="165" fontId="10" fillId="0" borderId="23" xfId="0" applyNumberFormat="1" applyFont="1" applyBorder="1" applyAlignment="1">
      <alignment wrapText="1"/>
    </xf>
    <xf numFmtId="3" fontId="10" fillId="0" borderId="23" xfId="0" applyNumberFormat="1" applyFont="1" applyBorder="1" applyAlignment="1">
      <alignment wrapText="1"/>
    </xf>
    <xf numFmtId="164" fontId="10" fillId="0" borderId="23" xfId="0" applyNumberFormat="1" applyFont="1" applyBorder="1" applyAlignment="1">
      <alignment wrapText="1"/>
    </xf>
    <xf numFmtId="1" fontId="10" fillId="0" borderId="23" xfId="0" applyNumberFormat="1" applyFont="1" applyBorder="1" applyAlignment="1">
      <alignment/>
    </xf>
    <xf numFmtId="2" fontId="10" fillId="0" borderId="23" xfId="0" applyNumberFormat="1" applyFont="1" applyBorder="1" applyAlignment="1">
      <alignment/>
    </xf>
    <xf numFmtId="164" fontId="10" fillId="0" borderId="23" xfId="0" applyNumberFormat="1" applyFont="1" applyBorder="1" applyAlignment="1">
      <alignment/>
    </xf>
    <xf numFmtId="3" fontId="10" fillId="0" borderId="23" xfId="0" applyNumberFormat="1" applyFont="1" applyBorder="1" applyAlignment="1">
      <alignment/>
    </xf>
    <xf numFmtId="0" fontId="10" fillId="0" borderId="23" xfId="0" applyFont="1" applyBorder="1" applyAlignment="1">
      <alignment/>
    </xf>
    <xf numFmtId="169" fontId="10" fillId="0" borderId="23" xfId="0" applyNumberFormat="1" applyFont="1" applyBorder="1" applyAlignment="1">
      <alignment/>
    </xf>
    <xf numFmtId="165" fontId="10" fillId="0" borderId="23" xfId="0" applyNumberFormat="1" applyFont="1" applyBorder="1" applyAlignment="1">
      <alignment/>
    </xf>
    <xf numFmtId="0" fontId="15" fillId="4" borderId="24" xfId="0" applyFont="1" applyFill="1" applyBorder="1" applyAlignment="1">
      <alignment horizontal="left" wrapText="1"/>
    </xf>
    <xf numFmtId="0" fontId="15" fillId="3" borderId="25" xfId="0" applyFont="1" applyFill="1" applyBorder="1" applyAlignment="1">
      <alignment horizontal="center" wrapText="1"/>
    </xf>
    <xf numFmtId="0" fontId="10" fillId="3" borderId="26" xfId="0" applyFont="1" applyFill="1" applyBorder="1" applyAlignment="1">
      <alignment horizontal="center"/>
    </xf>
    <xf numFmtId="0" fontId="15" fillId="3" borderId="27" xfId="0" applyFont="1" applyFill="1" applyBorder="1" applyAlignment="1">
      <alignment horizontal="center" wrapText="1"/>
    </xf>
    <xf numFmtId="0" fontId="10" fillId="3" borderId="24" xfId="0" applyFont="1" applyFill="1" applyBorder="1" applyAlignment="1">
      <alignment horizontal="center"/>
    </xf>
    <xf numFmtId="0" fontId="15" fillId="4" borderId="27" xfId="0" applyFont="1" applyFill="1" applyBorder="1" applyAlignment="1">
      <alignment horizontal="center"/>
    </xf>
    <xf numFmtId="0" fontId="4" fillId="3" borderId="28" xfId="0" applyFont="1" applyFill="1" applyBorder="1" applyAlignment="1">
      <alignment horizontal="left"/>
    </xf>
    <xf numFmtId="0" fontId="5" fillId="3" borderId="29" xfId="0" applyFont="1" applyFill="1" applyBorder="1" applyAlignment="1">
      <alignment horizontal="left"/>
    </xf>
    <xf numFmtId="0" fontId="4" fillId="3" borderId="30" xfId="0" applyFont="1" applyFill="1" applyBorder="1" applyAlignment="1">
      <alignment horizontal="center"/>
    </xf>
    <xf numFmtId="0" fontId="4" fillId="3" borderId="31" xfId="0" applyFont="1" applyFill="1" applyBorder="1" applyAlignment="1">
      <alignment horizontal="left"/>
    </xf>
    <xf numFmtId="0" fontId="4" fillId="3" borderId="32" xfId="0" applyFont="1" applyFill="1" applyBorder="1" applyAlignment="1">
      <alignment horizontal="left"/>
    </xf>
    <xf numFmtId="0" fontId="4" fillId="3" borderId="33" xfId="0" applyFont="1" applyFill="1" applyBorder="1" applyAlignment="1">
      <alignment horizontal="left"/>
    </xf>
    <xf numFmtId="0" fontId="17" fillId="0" borderId="9" xfId="0" applyFont="1" applyBorder="1" applyAlignment="1">
      <alignment/>
    </xf>
    <xf numFmtId="2" fontId="17" fillId="0" borderId="34" xfId="0" applyNumberFormat="1" applyFont="1" applyBorder="1" applyAlignment="1">
      <alignment/>
    </xf>
    <xf numFmtId="0" fontId="17" fillId="0" borderId="34" xfId="0" applyFont="1" applyBorder="1" applyAlignment="1">
      <alignment horizontal="right"/>
    </xf>
    <xf numFmtId="2" fontId="17" fillId="0" borderId="34" xfId="0" applyNumberFormat="1" applyFont="1" applyBorder="1" applyAlignment="1">
      <alignment/>
    </xf>
    <xf numFmtId="165" fontId="17" fillId="0" borderId="34" xfId="0" applyNumberFormat="1" applyFont="1" applyBorder="1" applyAlignment="1">
      <alignment/>
    </xf>
    <xf numFmtId="168" fontId="17" fillId="0" borderId="34" xfId="0" applyNumberFormat="1" applyFont="1" applyBorder="1" applyAlignment="1">
      <alignment/>
    </xf>
    <xf numFmtId="1" fontId="17" fillId="0" borderId="34" xfId="0" applyNumberFormat="1" applyFont="1" applyBorder="1" applyAlignment="1">
      <alignment/>
    </xf>
    <xf numFmtId="164" fontId="17" fillId="0" borderId="34" xfId="0" applyNumberFormat="1" applyFont="1" applyBorder="1" applyAlignment="1">
      <alignment/>
    </xf>
    <xf numFmtId="0" fontId="17" fillId="0" borderId="34" xfId="0" applyFont="1" applyBorder="1" applyAlignment="1">
      <alignment horizontal="center"/>
    </xf>
    <xf numFmtId="3" fontId="17" fillId="0" borderId="34" xfId="0" applyNumberFormat="1" applyFont="1" applyBorder="1" applyAlignment="1">
      <alignment/>
    </xf>
    <xf numFmtId="169" fontId="17" fillId="0" borderId="34" xfId="0" applyNumberFormat="1" applyFont="1" applyBorder="1" applyAlignment="1">
      <alignment/>
    </xf>
    <xf numFmtId="165" fontId="17" fillId="0" borderId="34" xfId="0" applyNumberFormat="1" applyFont="1" applyBorder="1" applyAlignment="1">
      <alignment/>
    </xf>
    <xf numFmtId="172" fontId="17" fillId="0" borderId="34" xfId="0" applyNumberFormat="1" applyFont="1" applyBorder="1" applyAlignment="1">
      <alignment/>
    </xf>
    <xf numFmtId="169" fontId="10" fillId="0" borderId="3" xfId="0" applyNumberFormat="1" applyFont="1" applyBorder="1" applyAlignment="1">
      <alignment horizontal="center"/>
    </xf>
    <xf numFmtId="169" fontId="17" fillId="0" borderId="3" xfId="0" applyNumberFormat="1" applyFont="1" applyBorder="1" applyAlignment="1">
      <alignment horizontal="center"/>
    </xf>
    <xf numFmtId="0" fontId="10" fillId="0" borderId="0" xfId="0" applyFont="1" applyAlignment="1">
      <alignment horizontal="center"/>
    </xf>
    <xf numFmtId="0" fontId="0" fillId="0" borderId="20" xfId="0" applyBorder="1" applyAlignment="1">
      <alignment/>
    </xf>
    <xf numFmtId="2" fontId="17" fillId="0" borderId="34" xfId="0" applyNumberFormat="1" applyFont="1" applyBorder="1" applyAlignment="1">
      <alignment horizontal="right"/>
    </xf>
    <xf numFmtId="0" fontId="10" fillId="0" borderId="3" xfId="0" applyFont="1" applyBorder="1" applyAlignment="1">
      <alignment/>
    </xf>
    <xf numFmtId="0" fontId="10" fillId="0" borderId="35" xfId="0" applyFont="1" applyBorder="1" applyAlignment="1">
      <alignment/>
    </xf>
    <xf numFmtId="0" fontId="10" fillId="0" borderId="26" xfId="0" applyFont="1" applyBorder="1" applyAlignment="1">
      <alignment/>
    </xf>
    <xf numFmtId="172" fontId="0" fillId="0" borderId="36" xfId="0" applyNumberFormat="1" applyBorder="1" applyAlignment="1">
      <alignment/>
    </xf>
    <xf numFmtId="172" fontId="0" fillId="0" borderId="24" xfId="0" applyNumberFormat="1" applyBorder="1" applyAlignment="1">
      <alignment/>
    </xf>
    <xf numFmtId="172" fontId="0" fillId="0" borderId="37" xfId="0" applyNumberFormat="1"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10" fillId="0" borderId="3" xfId="0" applyFont="1" applyBorder="1" applyAlignment="1">
      <alignment horizontal="center"/>
    </xf>
    <xf numFmtId="0" fontId="10" fillId="0" borderId="5" xfId="0" applyFont="1" applyFill="1" applyBorder="1" applyAlignment="1">
      <alignment horizontal="center"/>
    </xf>
    <xf numFmtId="0" fontId="10" fillId="0" borderId="0" xfId="0" applyFont="1" applyFill="1" applyBorder="1" applyAlignment="1">
      <alignment/>
    </xf>
    <xf numFmtId="0" fontId="20" fillId="0" borderId="0" xfId="0" applyFont="1" applyAlignment="1">
      <alignment/>
    </xf>
    <xf numFmtId="0" fontId="0" fillId="0" borderId="0" xfId="0" applyBorder="1" applyAlignment="1">
      <alignment/>
    </xf>
    <xf numFmtId="172" fontId="0" fillId="0" borderId="0" xfId="0" applyNumberFormat="1" applyBorder="1" applyAlignment="1">
      <alignment/>
    </xf>
    <xf numFmtId="0" fontId="0" fillId="0" borderId="5" xfId="0" applyFont="1" applyBorder="1" applyAlignment="1">
      <alignment horizontal="center" wrapText="1"/>
    </xf>
    <xf numFmtId="164" fontId="0" fillId="0" borderId="3" xfId="0" applyNumberFormat="1" applyFont="1" applyBorder="1" applyAlignment="1">
      <alignment horizontal="right"/>
    </xf>
    <xf numFmtId="164" fontId="22" fillId="0" borderId="3" xfId="0" applyNumberFormat="1" applyFont="1" applyBorder="1" applyAlignment="1">
      <alignment horizontal="right"/>
    </xf>
    <xf numFmtId="0" fontId="0" fillId="0" borderId="3" xfId="0" applyFont="1" applyBorder="1" applyAlignment="1">
      <alignment horizontal="right"/>
    </xf>
    <xf numFmtId="2" fontId="0" fillId="0" borderId="3" xfId="0" applyNumberFormat="1" applyFont="1" applyBorder="1" applyAlignment="1">
      <alignment/>
    </xf>
    <xf numFmtId="0" fontId="0" fillId="0" borderId="3" xfId="0" applyNumberFormat="1" applyFont="1" applyBorder="1" applyAlignment="1">
      <alignment horizontal="right"/>
    </xf>
    <xf numFmtId="2" fontId="0" fillId="0" borderId="3" xfId="0" applyNumberFormat="1" applyFont="1" applyBorder="1" applyAlignment="1">
      <alignment horizontal="right"/>
    </xf>
    <xf numFmtId="0" fontId="23" fillId="0" borderId="3" xfId="0" applyFont="1" applyBorder="1" applyAlignment="1">
      <alignment horizontal="right"/>
    </xf>
    <xf numFmtId="0" fontId="23" fillId="0" borderId="3" xfId="0" applyFont="1" applyFill="1" applyBorder="1" applyAlignment="1">
      <alignment horizontal="right"/>
    </xf>
    <xf numFmtId="165" fontId="23" fillId="0" borderId="3" xfId="0" applyNumberFormat="1" applyFont="1" applyBorder="1" applyAlignment="1">
      <alignment horizontal="right"/>
    </xf>
    <xf numFmtId="165" fontId="23" fillId="0" borderId="3" xfId="0" applyNumberFormat="1" applyFont="1" applyFill="1" applyBorder="1" applyAlignment="1">
      <alignment horizontal="right"/>
    </xf>
    <xf numFmtId="2" fontId="23" fillId="0" borderId="3" xfId="0" applyNumberFormat="1" applyFont="1" applyBorder="1" applyAlignment="1">
      <alignment horizontal="right"/>
    </xf>
    <xf numFmtId="164" fontId="23" fillId="0" borderId="3" xfId="0" applyNumberFormat="1" applyFont="1" applyBorder="1" applyAlignment="1">
      <alignment horizontal="right"/>
    </xf>
    <xf numFmtId="0" fontId="22" fillId="0" borderId="3" xfId="0" applyFont="1" applyBorder="1" applyAlignment="1">
      <alignment horizontal="right"/>
    </xf>
    <xf numFmtId="0" fontId="4" fillId="0" borderId="38" xfId="0" applyFont="1" applyBorder="1" applyAlignment="1">
      <alignment horizontal="left"/>
    </xf>
    <xf numFmtId="0" fontId="0" fillId="0" borderId="5" xfId="0" applyFont="1" applyFill="1" applyBorder="1" applyAlignment="1">
      <alignment horizontal="left" wrapText="1"/>
    </xf>
    <xf numFmtId="0" fontId="0" fillId="4" borderId="3" xfId="0" applyFont="1" applyFill="1" applyBorder="1" applyAlignment="1">
      <alignment horizontal="left"/>
    </xf>
    <xf numFmtId="0" fontId="0" fillId="5" borderId="3" xfId="0" applyFont="1" applyFill="1" applyBorder="1" applyAlignment="1">
      <alignment horizontal="left"/>
    </xf>
    <xf numFmtId="0" fontId="0" fillId="0" borderId="3" xfId="0" applyFont="1" applyBorder="1" applyAlignment="1">
      <alignment horizontal="left" wrapText="1"/>
    </xf>
    <xf numFmtId="0" fontId="0" fillId="0" borderId="14" xfId="0" applyFont="1" applyBorder="1" applyAlignment="1">
      <alignment horizontal="left"/>
    </xf>
    <xf numFmtId="0" fontId="0" fillId="0" borderId="14" xfId="0" applyFont="1" applyBorder="1" applyAlignment="1">
      <alignment/>
    </xf>
    <xf numFmtId="0" fontId="0" fillId="0" borderId="3" xfId="0" applyFont="1" applyBorder="1" applyAlignment="1">
      <alignment/>
    </xf>
    <xf numFmtId="0" fontId="0" fillId="0" borderId="0" xfId="0" applyFont="1" applyAlignment="1">
      <alignment horizontal="left"/>
    </xf>
    <xf numFmtId="0" fontId="7" fillId="0" borderId="0" xfId="0" applyFont="1" applyFill="1" applyBorder="1" applyAlignment="1">
      <alignment/>
    </xf>
    <xf numFmtId="0" fontId="10" fillId="0" borderId="21" xfId="0" applyFont="1" applyBorder="1" applyAlignment="1">
      <alignment horizontal="center"/>
    </xf>
    <xf numFmtId="0" fontId="10" fillId="0" borderId="20" xfId="0" applyFont="1" applyBorder="1" applyAlignment="1">
      <alignment horizontal="center"/>
    </xf>
    <xf numFmtId="0" fontId="8" fillId="0" borderId="20" xfId="0" applyFont="1" applyBorder="1" applyAlignment="1">
      <alignment horizontal="center"/>
    </xf>
    <xf numFmtId="0" fontId="8" fillId="0" borderId="3" xfId="0" applyFont="1" applyBorder="1" applyAlignment="1">
      <alignment horizontal="center"/>
    </xf>
    <xf numFmtId="0" fontId="0" fillId="0" borderId="0" xfId="0" applyBorder="1" applyAlignment="1">
      <alignment/>
    </xf>
    <xf numFmtId="0" fontId="24" fillId="0" borderId="39" xfId="0" applyFont="1" applyBorder="1" applyAlignment="1">
      <alignment/>
    </xf>
    <xf numFmtId="0" fontId="7" fillId="0" borderId="40" xfId="0" applyFont="1" applyBorder="1" applyAlignment="1">
      <alignment horizontal="center" wrapText="1"/>
    </xf>
    <xf numFmtId="0" fontId="7" fillId="0" borderId="0" xfId="0" applyFont="1" applyBorder="1" applyAlignment="1">
      <alignment horizontal="center" wrapText="1"/>
    </xf>
    <xf numFmtId="0" fontId="7" fillId="0" borderId="41" xfId="0" applyFont="1" applyBorder="1" applyAlignment="1">
      <alignment horizontal="center" wrapText="1"/>
    </xf>
    <xf numFmtId="0" fontId="0" fillId="0" borderId="0" xfId="0" applyFill="1" applyAlignment="1">
      <alignment horizontal="center"/>
    </xf>
    <xf numFmtId="164" fontId="0" fillId="0" borderId="5" xfId="0" applyNumberFormat="1" applyFont="1" applyBorder="1" applyAlignment="1">
      <alignment/>
    </xf>
    <xf numFmtId="164" fontId="17" fillId="0" borderId="6" xfId="0" applyNumberFormat="1" applyFont="1" applyBorder="1" applyAlignment="1">
      <alignment/>
    </xf>
    <xf numFmtId="164" fontId="17" fillId="0" borderId="3" xfId="0" applyNumberFormat="1" applyFont="1" applyBorder="1" applyAlignment="1">
      <alignment/>
    </xf>
    <xf numFmtId="164" fontId="17" fillId="0" borderId="2" xfId="0" applyNumberFormat="1" applyFont="1" applyBorder="1" applyAlignment="1">
      <alignment/>
    </xf>
    <xf numFmtId="11" fontId="17" fillId="0" borderId="2" xfId="0" applyNumberFormat="1" applyFont="1" applyBorder="1" applyAlignment="1">
      <alignment/>
    </xf>
    <xf numFmtId="0" fontId="25" fillId="0" borderId="0" xfId="0" applyFont="1" applyAlignment="1">
      <alignment/>
    </xf>
    <xf numFmtId="0" fontId="0" fillId="0" borderId="42" xfId="0" applyBorder="1" applyAlignment="1">
      <alignment/>
    </xf>
    <xf numFmtId="0" fontId="4" fillId="0" borderId="42" xfId="0" applyFont="1" applyBorder="1" applyAlignment="1">
      <alignment/>
    </xf>
    <xf numFmtId="0" fontId="4" fillId="0" borderId="43" xfId="0" applyFont="1" applyBorder="1" applyAlignment="1" quotePrefix="1">
      <alignment/>
    </xf>
    <xf numFmtId="0" fontId="4" fillId="0" borderId="44" xfId="0" applyFont="1" applyBorder="1" applyAlignment="1">
      <alignment/>
    </xf>
    <xf numFmtId="0" fontId="4" fillId="0" borderId="45" xfId="0" applyFont="1" applyBorder="1" applyAlignment="1">
      <alignment/>
    </xf>
    <xf numFmtId="0" fontId="17" fillId="0" borderId="2" xfId="0" applyNumberFormat="1" applyFont="1" applyBorder="1" applyAlignment="1">
      <alignment/>
    </xf>
    <xf numFmtId="0" fontId="4" fillId="0" borderId="44" xfId="0" applyFont="1" applyBorder="1" applyAlignment="1" quotePrefix="1">
      <alignment/>
    </xf>
    <xf numFmtId="11" fontId="10" fillId="0" borderId="23" xfId="0" applyNumberFormat="1" applyFont="1" applyBorder="1" applyAlignment="1">
      <alignment/>
    </xf>
    <xf numFmtId="0" fontId="30" fillId="0" borderId="0" xfId="0" applyFont="1" applyAlignment="1" quotePrefix="1">
      <alignment/>
    </xf>
    <xf numFmtId="0" fontId="10" fillId="0" borderId="6" xfId="0" applyNumberFormat="1" applyFont="1" applyFill="1" applyBorder="1" applyAlignment="1">
      <alignment/>
    </xf>
    <xf numFmtId="0" fontId="10" fillId="0" borderId="46" xfId="0" applyNumberFormat="1" applyFont="1" applyFill="1" applyBorder="1" applyAlignment="1">
      <alignment/>
    </xf>
    <xf numFmtId="0" fontId="10" fillId="0" borderId="10" xfId="0" applyNumberFormat="1" applyFont="1" applyFill="1" applyBorder="1" applyAlignment="1">
      <alignment/>
    </xf>
    <xf numFmtId="0" fontId="10" fillId="0" borderId="0" xfId="0" applyFont="1" applyBorder="1" applyAlignment="1">
      <alignment horizontal="center" wrapText="1"/>
    </xf>
    <xf numFmtId="1" fontId="10" fillId="0" borderId="4" xfId="0" applyNumberFormat="1" applyFont="1" applyBorder="1" applyAlignment="1">
      <alignment horizontal="right" wrapText="1"/>
    </xf>
    <xf numFmtId="1" fontId="10" fillId="0" borderId="6" xfId="0" applyNumberFormat="1" applyFont="1" applyBorder="1" applyAlignment="1">
      <alignment horizontal="right"/>
    </xf>
    <xf numFmtId="1" fontId="10" fillId="0" borderId="6" xfId="0" applyNumberFormat="1" applyFont="1" applyBorder="1" applyAlignment="1">
      <alignment horizontal="right" wrapText="1"/>
    </xf>
    <xf numFmtId="164" fontId="10" fillId="0" borderId="6" xfId="0" applyNumberFormat="1" applyFont="1" applyBorder="1" applyAlignment="1">
      <alignment horizontal="right" wrapText="1"/>
    </xf>
    <xf numFmtId="1" fontId="15" fillId="0" borderId="6" xfId="0" applyNumberFormat="1" applyFont="1" applyBorder="1" applyAlignment="1">
      <alignment horizontal="right"/>
    </xf>
    <xf numFmtId="173" fontId="0" fillId="0" borderId="9" xfId="0" applyNumberFormat="1" applyFont="1" applyFill="1" applyBorder="1" applyAlignment="1">
      <alignment horizontal="center"/>
    </xf>
    <xf numFmtId="0" fontId="18" fillId="0" borderId="2" xfId="0" applyFont="1" applyBorder="1" applyAlignment="1">
      <alignment horizontal="left"/>
    </xf>
    <xf numFmtId="173" fontId="23" fillId="0" borderId="3" xfId="0" applyNumberFormat="1" applyFont="1" applyBorder="1" applyAlignment="1">
      <alignment horizontal="right"/>
    </xf>
    <xf numFmtId="0" fontId="4" fillId="0" borderId="47" xfId="0" applyFont="1" applyBorder="1" applyAlignment="1">
      <alignment horizontal="left"/>
    </xf>
    <xf numFmtId="0" fontId="21" fillId="0" borderId="3" xfId="0" applyFont="1" applyBorder="1" applyAlignment="1">
      <alignment horizontal="center"/>
    </xf>
    <xf numFmtId="0" fontId="17" fillId="0" borderId="4" xfId="0" applyFont="1" applyBorder="1" applyAlignment="1">
      <alignment/>
    </xf>
    <xf numFmtId="0" fontId="17" fillId="0" borderId="39" xfId="0" applyFont="1" applyBorder="1" applyAlignment="1" quotePrefix="1">
      <alignment/>
    </xf>
    <xf numFmtId="1" fontId="17" fillId="0" borderId="39" xfId="0" applyNumberFormat="1" applyFont="1" applyBorder="1" applyAlignment="1">
      <alignment/>
    </xf>
    <xf numFmtId="0" fontId="17" fillId="0" borderId="39" xfId="0" applyFont="1" applyBorder="1" applyAlignment="1">
      <alignment/>
    </xf>
    <xf numFmtId="0" fontId="17" fillId="0" borderId="6" xfId="0" applyNumberFormat="1" applyFont="1" applyBorder="1" applyAlignment="1">
      <alignment/>
    </xf>
    <xf numFmtId="0" fontId="17" fillId="0" borderId="3" xfId="0" applyNumberFormat="1" applyFont="1" applyBorder="1" applyAlignment="1">
      <alignment/>
    </xf>
    <xf numFmtId="3" fontId="10" fillId="0" borderId="20" xfId="0" applyNumberFormat="1" applyFont="1" applyBorder="1" applyAlignment="1">
      <alignment/>
    </xf>
    <xf numFmtId="3" fontId="10" fillId="0" borderId="20" xfId="0" applyNumberFormat="1" applyFont="1" applyBorder="1" applyAlignment="1">
      <alignment wrapText="1"/>
    </xf>
    <xf numFmtId="0" fontId="10" fillId="0" borderId="20" xfId="0" applyFont="1" applyFill="1" applyBorder="1" applyAlignment="1">
      <alignment wrapText="1"/>
    </xf>
    <xf numFmtId="173" fontId="10" fillId="0" borderId="20" xfId="0" applyNumberFormat="1" applyFont="1" applyBorder="1" applyAlignment="1">
      <alignment/>
    </xf>
    <xf numFmtId="165" fontId="17" fillId="0" borderId="34" xfId="0" applyNumberFormat="1" applyFont="1" applyBorder="1" applyAlignment="1">
      <alignment horizontal="center"/>
    </xf>
    <xf numFmtId="0" fontId="17" fillId="0" borderId="5" xfId="0" applyFont="1" applyBorder="1" applyAlignment="1">
      <alignment/>
    </xf>
    <xf numFmtId="164" fontId="10" fillId="0" borderId="4" xfId="0" applyNumberFormat="1" applyFont="1" applyBorder="1" applyAlignment="1">
      <alignment/>
    </xf>
    <xf numFmtId="164" fontId="10" fillId="0" borderId="5" xfId="0" applyNumberFormat="1" applyFont="1" applyBorder="1" applyAlignment="1">
      <alignment/>
    </xf>
    <xf numFmtId="164" fontId="10" fillId="0" borderId="21" xfId="0" applyNumberFormat="1" applyFont="1" applyBorder="1" applyAlignment="1">
      <alignment/>
    </xf>
    <xf numFmtId="164" fontId="10" fillId="0" borderId="5" xfId="0" applyNumberFormat="1" applyFont="1" applyBorder="1" applyAlignment="1">
      <alignment wrapText="1"/>
    </xf>
    <xf numFmtId="1" fontId="10" fillId="0" borderId="21" xfId="0" applyNumberFormat="1" applyFont="1" applyBorder="1" applyAlignment="1">
      <alignment/>
    </xf>
    <xf numFmtId="1" fontId="10" fillId="0" borderId="5" xfId="0" applyNumberFormat="1" applyFont="1" applyBorder="1" applyAlignment="1">
      <alignment wrapText="1"/>
    </xf>
    <xf numFmtId="164" fontId="17" fillId="0" borderId="4" xfId="0" applyNumberFormat="1" applyFont="1" applyBorder="1" applyAlignment="1">
      <alignment/>
    </xf>
    <xf numFmtId="164" fontId="17" fillId="0" borderId="5" xfId="0" applyNumberFormat="1" applyFont="1" applyBorder="1" applyAlignment="1">
      <alignment/>
    </xf>
    <xf numFmtId="164" fontId="17" fillId="0" borderId="21" xfId="0" applyNumberFormat="1" applyFont="1" applyBorder="1" applyAlignment="1">
      <alignment/>
    </xf>
    <xf numFmtId="164" fontId="17" fillId="0" borderId="5" xfId="0" applyNumberFormat="1" applyFont="1" applyBorder="1" applyAlignment="1">
      <alignment wrapText="1"/>
    </xf>
    <xf numFmtId="1" fontId="17" fillId="0" borderId="4" xfId="0" applyNumberFormat="1" applyFont="1" applyBorder="1" applyAlignment="1">
      <alignment/>
    </xf>
    <xf numFmtId="1" fontId="17" fillId="0" borderId="21" xfId="0" applyNumberFormat="1" applyFont="1" applyBorder="1" applyAlignment="1">
      <alignment/>
    </xf>
    <xf numFmtId="1" fontId="17" fillId="0" borderId="5" xfId="0" applyNumberFormat="1" applyFont="1" applyBorder="1" applyAlignment="1">
      <alignment wrapText="1"/>
    </xf>
    <xf numFmtId="1" fontId="17" fillId="0" borderId="5" xfId="0" applyNumberFormat="1" applyFont="1" applyBorder="1" applyAlignment="1">
      <alignment/>
    </xf>
    <xf numFmtId="0" fontId="23" fillId="0" borderId="11" xfId="0" applyFont="1" applyFill="1" applyBorder="1" applyAlignment="1">
      <alignment horizontal="center"/>
    </xf>
    <xf numFmtId="0" fontId="23" fillId="0" borderId="48" xfId="0" applyFont="1" applyFill="1" applyBorder="1" applyAlignment="1">
      <alignment horizontal="center"/>
    </xf>
    <xf numFmtId="0" fontId="19" fillId="0" borderId="0" xfId="0" applyFont="1" applyBorder="1" applyAlignment="1">
      <alignment/>
    </xf>
    <xf numFmtId="0" fontId="23" fillId="0" borderId="0" xfId="0" applyFont="1" applyFill="1" applyBorder="1" applyAlignment="1">
      <alignment horizontal="left"/>
    </xf>
    <xf numFmtId="0" fontId="0" fillId="0" borderId="0" xfId="0" applyBorder="1" applyAlignment="1">
      <alignment horizontal="left"/>
    </xf>
    <xf numFmtId="0" fontId="25" fillId="0" borderId="0" xfId="0" applyFont="1" applyFill="1" applyBorder="1" applyAlignment="1">
      <alignment/>
    </xf>
    <xf numFmtId="0" fontId="0" fillId="0" borderId="0" xfId="0" applyFill="1" applyBorder="1" applyAlignment="1">
      <alignment/>
    </xf>
    <xf numFmtId="0" fontId="25" fillId="6" borderId="49" xfId="0" applyFont="1" applyFill="1" applyBorder="1" applyAlignment="1">
      <alignment horizontal="center"/>
    </xf>
    <xf numFmtId="0" fontId="25" fillId="6" borderId="50" xfId="0" applyFont="1" applyFill="1" applyBorder="1" applyAlignment="1">
      <alignment horizontal="center"/>
    </xf>
    <xf numFmtId="0" fontId="10" fillId="0" borderId="51" xfId="0" applyFont="1" applyBorder="1" applyAlignment="1">
      <alignment/>
    </xf>
    <xf numFmtId="0" fontId="10" fillId="0" borderId="52" xfId="0" applyFont="1" applyBorder="1" applyAlignment="1">
      <alignment/>
    </xf>
    <xf numFmtId="0" fontId="10" fillId="0" borderId="53" xfId="0" applyFont="1" applyBorder="1" applyAlignment="1">
      <alignment/>
    </xf>
    <xf numFmtId="0" fontId="10" fillId="0" borderId="54" xfId="0" applyFont="1" applyBorder="1" applyAlignment="1">
      <alignment/>
    </xf>
    <xf numFmtId="1" fontId="10" fillId="0" borderId="4" xfId="0" applyNumberFormat="1" applyFont="1" applyBorder="1" applyAlignment="1">
      <alignment/>
    </xf>
    <xf numFmtId="1" fontId="10" fillId="0" borderId="5" xfId="0" applyNumberFormat="1" applyFont="1" applyBorder="1" applyAlignment="1">
      <alignment/>
    </xf>
    <xf numFmtId="0" fontId="0" fillId="0" borderId="0" xfId="0" applyAlignment="1">
      <alignment/>
    </xf>
    <xf numFmtId="0" fontId="0" fillId="0" borderId="23" xfId="0" applyBorder="1" applyAlignment="1">
      <alignment/>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15" fillId="0" borderId="6" xfId="0" applyFont="1" applyBorder="1" applyAlignment="1">
      <alignment/>
    </xf>
    <xf numFmtId="0" fontId="15" fillId="0" borderId="36" xfId="0" applyFont="1" applyBorder="1" applyAlignment="1">
      <alignment/>
    </xf>
    <xf numFmtId="0" fontId="16" fillId="0" borderId="0" xfId="0" applyFont="1" applyFill="1" applyAlignment="1">
      <alignment/>
    </xf>
    <xf numFmtId="0" fontId="0" fillId="0" borderId="55" xfId="0" applyBorder="1" applyAlignment="1">
      <alignment horizontal="center"/>
    </xf>
    <xf numFmtId="14" fontId="0" fillId="0" borderId="10" xfId="0" applyNumberFormat="1"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34" fillId="0" borderId="0" xfId="0" applyFont="1" applyAlignment="1">
      <alignment horizontal="left"/>
    </xf>
    <xf numFmtId="14" fontId="35" fillId="0" borderId="0" xfId="0" applyNumberFormat="1" applyFont="1" applyAlignment="1">
      <alignment horizontal="center"/>
    </xf>
    <xf numFmtId="0" fontId="35" fillId="0" borderId="0" xfId="0" applyFont="1" applyAlignment="1">
      <alignment horizontal="center"/>
    </xf>
    <xf numFmtId="0" fontId="35" fillId="0" borderId="0" xfId="0" applyFont="1" applyAlignment="1" quotePrefix="1">
      <alignment horizontal="center"/>
    </xf>
    <xf numFmtId="14" fontId="0" fillId="0" borderId="0" xfId="0" applyNumberFormat="1" applyAlignment="1">
      <alignment/>
    </xf>
    <xf numFmtId="0" fontId="15" fillId="4" borderId="24" xfId="0" applyFont="1" applyFill="1" applyBorder="1" applyAlignment="1">
      <alignment horizontal="center" wrapText="1"/>
    </xf>
    <xf numFmtId="0" fontId="10" fillId="0" borderId="13" xfId="0" applyFont="1" applyFill="1" applyBorder="1" applyAlignment="1">
      <alignment horizontal="center"/>
    </xf>
    <xf numFmtId="11" fontId="10" fillId="0" borderId="13" xfId="0" applyNumberFormat="1"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8" fillId="0" borderId="11" xfId="0" applyFont="1" applyFill="1" applyBorder="1" applyAlignment="1">
      <alignment horizontal="center"/>
    </xf>
    <xf numFmtId="0" fontId="10" fillId="0" borderId="10" xfId="0" applyFont="1" applyBorder="1" applyAlignment="1">
      <alignment horizontal="center"/>
    </xf>
    <xf numFmtId="0" fontId="10" fillId="0" borderId="10" xfId="0" applyFont="1" applyFill="1" applyBorder="1" applyAlignment="1">
      <alignment horizontal="center"/>
    </xf>
    <xf numFmtId="0" fontId="17" fillId="0" borderId="5" xfId="0" applyFont="1" applyFill="1" applyBorder="1" applyAlignment="1">
      <alignment horizontal="center"/>
    </xf>
    <xf numFmtId="0" fontId="17" fillId="0" borderId="3" xfId="0" applyFont="1" applyFill="1" applyBorder="1" applyAlignment="1">
      <alignment horizontal="center"/>
    </xf>
    <xf numFmtId="11" fontId="17" fillId="0" borderId="3" xfId="0" applyNumberFormat="1" applyFont="1" applyFill="1" applyBorder="1" applyAlignment="1">
      <alignment horizontal="center"/>
    </xf>
    <xf numFmtId="0" fontId="32" fillId="0" borderId="3" xfId="0" applyFont="1" applyFill="1" applyBorder="1" applyAlignment="1">
      <alignment horizontal="center"/>
    </xf>
    <xf numFmtId="0" fontId="17" fillId="0" borderId="3" xfId="0" applyFont="1" applyBorder="1" applyAlignment="1">
      <alignment horizontal="center"/>
    </xf>
    <xf numFmtId="0" fontId="10" fillId="0" borderId="4" xfId="0" applyNumberFormat="1" applyFont="1" applyFill="1" applyBorder="1" applyAlignment="1" quotePrefix="1">
      <alignment/>
    </xf>
    <xf numFmtId="0" fontId="10" fillId="0" borderId="13" xfId="0" applyNumberFormat="1" applyFont="1" applyFill="1" applyBorder="1" applyAlignment="1">
      <alignment/>
    </xf>
    <xf numFmtId="0" fontId="10" fillId="0" borderId="56" xfId="0" applyNumberFormat="1" applyFont="1" applyFill="1" applyBorder="1" applyAlignment="1">
      <alignment/>
    </xf>
    <xf numFmtId="0" fontId="10" fillId="0" borderId="56" xfId="0" applyFont="1" applyFill="1" applyBorder="1" applyAlignment="1">
      <alignment/>
    </xf>
    <xf numFmtId="0" fontId="10" fillId="0" borderId="1" xfId="0" applyFont="1" applyFill="1" applyBorder="1" applyAlignment="1">
      <alignment/>
    </xf>
    <xf numFmtId="0" fontId="10" fillId="0" borderId="6" xfId="0" applyNumberFormat="1" applyFont="1" applyFill="1" applyBorder="1" applyAlignment="1">
      <alignment/>
    </xf>
    <xf numFmtId="0" fontId="10" fillId="0" borderId="10" xfId="0" applyNumberFormat="1" applyFont="1" applyFill="1" applyBorder="1" applyAlignment="1">
      <alignment/>
    </xf>
    <xf numFmtId="0" fontId="10" fillId="0" borderId="46" xfId="0" applyNumberFormat="1" applyFont="1" applyFill="1" applyBorder="1" applyAlignment="1">
      <alignment/>
    </xf>
    <xf numFmtId="0" fontId="10" fillId="0" borderId="46" xfId="0" applyFont="1" applyFill="1" applyBorder="1" applyAlignment="1">
      <alignment/>
    </xf>
    <xf numFmtId="1" fontId="10" fillId="0" borderId="2" xfId="0" applyNumberFormat="1" applyFont="1" applyFill="1" applyBorder="1" applyAlignment="1">
      <alignment/>
    </xf>
    <xf numFmtId="164" fontId="10" fillId="0" borderId="2" xfId="0" applyNumberFormat="1" applyFont="1" applyFill="1" applyBorder="1" applyAlignment="1">
      <alignment/>
    </xf>
    <xf numFmtId="0" fontId="10" fillId="0" borderId="46" xfId="0" applyFont="1" applyFill="1" applyBorder="1" applyAlignment="1">
      <alignment/>
    </xf>
    <xf numFmtId="164" fontId="10" fillId="0" borderId="2" xfId="0" applyNumberFormat="1" applyFont="1" applyFill="1" applyBorder="1" applyAlignment="1">
      <alignment/>
    </xf>
    <xf numFmtId="1" fontId="10" fillId="0" borderId="2" xfId="0" applyNumberFormat="1" applyFont="1" applyFill="1" applyBorder="1" applyAlignment="1">
      <alignment/>
    </xf>
    <xf numFmtId="0" fontId="8" fillId="0" borderId="46" xfId="0" applyFont="1" applyFill="1" applyBorder="1" applyAlignment="1">
      <alignment/>
    </xf>
    <xf numFmtId="0" fontId="10" fillId="0" borderId="2" xfId="0" applyFont="1" applyFill="1" applyBorder="1" applyAlignment="1">
      <alignment/>
    </xf>
    <xf numFmtId="0" fontId="15" fillId="0" borderId="2" xfId="0" applyFont="1" applyFill="1" applyBorder="1" applyAlignment="1">
      <alignment/>
    </xf>
    <xf numFmtId="0" fontId="17" fillId="0" borderId="3" xfId="0" applyFont="1" applyBorder="1" applyAlignment="1">
      <alignment/>
    </xf>
    <xf numFmtId="0" fontId="17" fillId="0" borderId="13" xfId="0" applyFont="1" applyFill="1" applyBorder="1" applyAlignment="1">
      <alignment horizontal="center"/>
    </xf>
    <xf numFmtId="0" fontId="4" fillId="0" borderId="3" xfId="0" applyFont="1" applyBorder="1" applyAlignment="1" quotePrefix="1">
      <alignment/>
    </xf>
    <xf numFmtId="0" fontId="24" fillId="0" borderId="5" xfId="0" applyFont="1" applyFill="1" applyBorder="1" applyAlignment="1">
      <alignment horizontal="center"/>
    </xf>
    <xf numFmtId="11" fontId="24" fillId="0" borderId="5" xfId="0" applyNumberFormat="1" applyFont="1" applyFill="1" applyBorder="1" applyAlignment="1">
      <alignment horizontal="center"/>
    </xf>
    <xf numFmtId="0" fontId="31" fillId="0" borderId="5" xfId="0" applyFont="1" applyFill="1" applyBorder="1" applyAlignment="1">
      <alignment horizontal="center"/>
    </xf>
    <xf numFmtId="0" fontId="24" fillId="0" borderId="5" xfId="0" applyFont="1" applyBorder="1" applyAlignment="1">
      <alignment horizontal="center"/>
    </xf>
    <xf numFmtId="0" fontId="24" fillId="0" borderId="3" xfId="0" applyFont="1" applyFill="1" applyBorder="1" applyAlignment="1">
      <alignment horizontal="center"/>
    </xf>
    <xf numFmtId="0" fontId="24" fillId="0" borderId="5" xfId="0" applyFont="1" applyFill="1" applyBorder="1" applyAlignment="1" quotePrefix="1">
      <alignment horizontal="center"/>
    </xf>
    <xf numFmtId="164" fontId="0" fillId="0" borderId="5" xfId="0" applyNumberFormat="1" applyFont="1" applyBorder="1" applyAlignment="1">
      <alignment horizontal="center"/>
    </xf>
    <xf numFmtId="1" fontId="35" fillId="0" borderId="0" xfId="0" applyNumberFormat="1" applyFont="1" applyAlignment="1">
      <alignment horizontal="center"/>
    </xf>
    <xf numFmtId="14" fontId="35" fillId="0" borderId="0" xfId="0" applyNumberFormat="1" applyFont="1" applyAlignment="1" quotePrefix="1">
      <alignment horizontal="center"/>
    </xf>
    <xf numFmtId="0" fontId="0" fillId="5" borderId="0" xfId="0" applyFill="1" applyAlignment="1">
      <alignment/>
    </xf>
    <xf numFmtId="0" fontId="37" fillId="3" borderId="3" xfId="0" applyFont="1" applyFill="1" applyBorder="1" applyAlignment="1">
      <alignment horizontal="center"/>
    </xf>
    <xf numFmtId="0" fontId="0" fillId="5" borderId="0" xfId="0" applyFill="1" applyBorder="1" applyAlignment="1">
      <alignment/>
    </xf>
    <xf numFmtId="0" fontId="25" fillId="5" borderId="0" xfId="0" applyFont="1" applyFill="1" applyBorder="1" applyAlignment="1">
      <alignment/>
    </xf>
    <xf numFmtId="0" fontId="0" fillId="6" borderId="0" xfId="0" applyFill="1" applyBorder="1" applyAlignment="1">
      <alignment/>
    </xf>
    <xf numFmtId="0" fontId="0" fillId="6" borderId="57" xfId="0" applyFill="1" applyBorder="1" applyAlignment="1">
      <alignment/>
    </xf>
    <xf numFmtId="0" fontId="0" fillId="6" borderId="58" xfId="0" applyFill="1" applyBorder="1" applyAlignment="1">
      <alignment/>
    </xf>
    <xf numFmtId="0" fontId="0" fillId="6" borderId="30" xfId="0" applyFill="1" applyBorder="1" applyAlignment="1">
      <alignment/>
    </xf>
    <xf numFmtId="0" fontId="0" fillId="6" borderId="40" xfId="0" applyFill="1" applyBorder="1" applyAlignment="1">
      <alignment/>
    </xf>
    <xf numFmtId="0" fontId="0" fillId="6" borderId="41" xfId="0" applyFill="1" applyBorder="1" applyAlignment="1">
      <alignment/>
    </xf>
    <xf numFmtId="0" fontId="0" fillId="6" borderId="59" xfId="0" applyFill="1" applyBorder="1" applyAlignment="1">
      <alignment/>
    </xf>
    <xf numFmtId="0" fontId="0" fillId="6" borderId="60" xfId="0" applyFill="1" applyBorder="1" applyAlignment="1">
      <alignment/>
    </xf>
    <xf numFmtId="0" fontId="0" fillId="6" borderId="61" xfId="0" applyFill="1" applyBorder="1" applyAlignment="1">
      <alignment/>
    </xf>
    <xf numFmtId="0" fontId="4" fillId="6" borderId="40" xfId="0" applyFont="1" applyFill="1" applyBorder="1" applyAlignment="1" quotePrefix="1">
      <alignment/>
    </xf>
    <xf numFmtId="0" fontId="25" fillId="6" borderId="3" xfId="0" applyFont="1" applyFill="1" applyBorder="1" applyAlignment="1">
      <alignment/>
    </xf>
    <xf numFmtId="0" fontId="42" fillId="0" borderId="0" xfId="0" applyFont="1" applyAlignment="1">
      <alignment/>
    </xf>
    <xf numFmtId="0" fontId="43" fillId="0" borderId="2" xfId="0" applyFont="1" applyBorder="1" applyAlignment="1">
      <alignment horizontal="center"/>
    </xf>
    <xf numFmtId="0" fontId="42" fillId="0" borderId="62" xfId="0" applyFont="1" applyBorder="1" applyAlignment="1">
      <alignment/>
    </xf>
    <xf numFmtId="0" fontId="42" fillId="0" borderId="63" xfId="0" applyFont="1" applyBorder="1" applyAlignment="1">
      <alignment/>
    </xf>
    <xf numFmtId="0" fontId="42" fillId="0" borderId="64" xfId="0" applyFont="1" applyBorder="1" applyAlignment="1">
      <alignment/>
    </xf>
    <xf numFmtId="0" fontId="43" fillId="6" borderId="28" xfId="0" applyFont="1" applyFill="1" applyBorder="1" applyAlignment="1">
      <alignment horizontal="center"/>
    </xf>
    <xf numFmtId="0" fontId="43" fillId="6" borderId="29" xfId="0" applyFont="1" applyFill="1" applyBorder="1" applyAlignment="1">
      <alignment horizontal="center"/>
    </xf>
    <xf numFmtId="0" fontId="43" fillId="6" borderId="65" xfId="0" applyFont="1" applyFill="1" applyBorder="1" applyAlignment="1">
      <alignment horizontal="center"/>
    </xf>
    <xf numFmtId="0" fontId="43" fillId="0" borderId="10" xfId="0" applyFont="1" applyBorder="1" applyAlignment="1">
      <alignment horizontal="center"/>
    </xf>
    <xf numFmtId="0" fontId="43" fillId="6" borderId="66" xfId="0" applyFont="1" applyFill="1" applyBorder="1" applyAlignment="1">
      <alignment horizontal="center"/>
    </xf>
    <xf numFmtId="0" fontId="43" fillId="0" borderId="20" xfId="0" applyFont="1" applyBorder="1" applyAlignment="1">
      <alignment horizontal="center"/>
    </xf>
    <xf numFmtId="0" fontId="42" fillId="0" borderId="67" xfId="0" applyFont="1" applyBorder="1" applyAlignment="1">
      <alignment horizontal="right"/>
    </xf>
    <xf numFmtId="0" fontId="42" fillId="0" borderId="68" xfId="0" applyFont="1" applyBorder="1" applyAlignment="1">
      <alignment horizontal="right"/>
    </xf>
    <xf numFmtId="0" fontId="42" fillId="0" borderId="68" xfId="0" applyFont="1" applyBorder="1" applyAlignment="1">
      <alignment/>
    </xf>
    <xf numFmtId="0" fontId="42" fillId="0" borderId="69" xfId="0" applyFont="1" applyBorder="1" applyAlignment="1">
      <alignment/>
    </xf>
    <xf numFmtId="0" fontId="43" fillId="6" borderId="70" xfId="0" applyFont="1" applyFill="1" applyBorder="1" applyAlignment="1">
      <alignment horizontal="center"/>
    </xf>
    <xf numFmtId="0" fontId="43" fillId="6" borderId="71" xfId="0" applyFont="1" applyFill="1" applyBorder="1" applyAlignment="1">
      <alignment horizontal="center"/>
    </xf>
    <xf numFmtId="0" fontId="43" fillId="0" borderId="46" xfId="0" applyFont="1" applyBorder="1" applyAlignment="1">
      <alignment horizontal="center"/>
    </xf>
    <xf numFmtId="0" fontId="43" fillId="0" borderId="72" xfId="0" applyFont="1" applyBorder="1" applyAlignment="1">
      <alignment horizontal="center"/>
    </xf>
    <xf numFmtId="0" fontId="42" fillId="0" borderId="73" xfId="0" applyFont="1" applyBorder="1" applyAlignment="1">
      <alignment horizontal="center"/>
    </xf>
    <xf numFmtId="0" fontId="42" fillId="0" borderId="74" xfId="0" applyFont="1" applyBorder="1" applyAlignment="1">
      <alignment horizontal="right"/>
    </xf>
    <xf numFmtId="0" fontId="42" fillId="0" borderId="75" xfId="0" applyFont="1" applyBorder="1" applyAlignment="1">
      <alignment horizontal="center"/>
    </xf>
    <xf numFmtId="0" fontId="42" fillId="0" borderId="76" xfId="0" applyFont="1" applyBorder="1" applyAlignment="1">
      <alignment horizontal="right"/>
    </xf>
    <xf numFmtId="0" fontId="0" fillId="0" borderId="75" xfId="0" applyFont="1" applyBorder="1" applyAlignment="1">
      <alignment horizontal="center"/>
    </xf>
    <xf numFmtId="0" fontId="42" fillId="0" borderId="76" xfId="0" applyFont="1" applyBorder="1" applyAlignment="1">
      <alignment/>
    </xf>
    <xf numFmtId="0" fontId="0" fillId="0" borderId="77" xfId="0" applyFont="1" applyBorder="1" applyAlignment="1">
      <alignment horizontal="center"/>
    </xf>
    <xf numFmtId="0" fontId="42" fillId="0" borderId="78" xfId="0" applyFont="1" applyBorder="1" applyAlignment="1">
      <alignment/>
    </xf>
    <xf numFmtId="0" fontId="43" fillId="6" borderId="79" xfId="0" applyFont="1" applyFill="1" applyBorder="1" applyAlignment="1">
      <alignment/>
    </xf>
    <xf numFmtId="0" fontId="43" fillId="6" borderId="80" xfId="0" applyFont="1" applyFill="1" applyBorder="1" applyAlignment="1">
      <alignment/>
    </xf>
    <xf numFmtId="0" fontId="43" fillId="6" borderId="81" xfId="0" applyFont="1" applyFill="1" applyBorder="1" applyAlignment="1">
      <alignment/>
    </xf>
    <xf numFmtId="0" fontId="43" fillId="6" borderId="82" xfId="0" applyFont="1" applyFill="1" applyBorder="1" applyAlignment="1">
      <alignment/>
    </xf>
    <xf numFmtId="0" fontId="42" fillId="0" borderId="77" xfId="0" applyFont="1" applyBorder="1" applyAlignment="1">
      <alignment horizontal="center"/>
    </xf>
    <xf numFmtId="0" fontId="42" fillId="0" borderId="83" xfId="0" applyFont="1" applyBorder="1" applyAlignment="1">
      <alignment/>
    </xf>
    <xf numFmtId="0" fontId="42" fillId="0" borderId="84" xfId="0" applyFont="1" applyBorder="1" applyAlignment="1">
      <alignment/>
    </xf>
    <xf numFmtId="0" fontId="42" fillId="0" borderId="85" xfId="0" applyFont="1" applyBorder="1" applyAlignment="1">
      <alignment/>
    </xf>
    <xf numFmtId="0" fontId="42" fillId="0" borderId="73" xfId="0" applyFont="1" applyBorder="1" applyAlignment="1">
      <alignment horizontal="right"/>
    </xf>
    <xf numFmtId="0" fontId="42" fillId="0" borderId="75" xfId="0" applyFont="1" applyBorder="1" applyAlignment="1">
      <alignment horizontal="right"/>
    </xf>
    <xf numFmtId="0" fontId="42" fillId="0" borderId="75" xfId="0" applyFont="1" applyBorder="1" applyAlignment="1">
      <alignment/>
    </xf>
    <xf numFmtId="0" fontId="42" fillId="0" borderId="77" xfId="0" applyFont="1" applyBorder="1" applyAlignment="1">
      <alignment/>
    </xf>
    <xf numFmtId="165" fontId="17" fillId="0" borderId="86" xfId="0" applyNumberFormat="1" applyFont="1" applyBorder="1" applyAlignment="1">
      <alignment horizontal="center"/>
    </xf>
    <xf numFmtId="0" fontId="17" fillId="0" borderId="87" xfId="0" applyFont="1" applyBorder="1" applyAlignment="1">
      <alignment/>
    </xf>
    <xf numFmtId="0" fontId="17" fillId="0" borderId="36" xfId="0" applyNumberFormat="1" applyFont="1" applyBorder="1" applyAlignment="1">
      <alignment/>
    </xf>
    <xf numFmtId="0" fontId="17" fillId="0" borderId="24" xfId="0" applyNumberFormat="1" applyFont="1" applyBorder="1" applyAlignment="1">
      <alignment/>
    </xf>
    <xf numFmtId="0" fontId="17" fillId="0" borderId="37" xfId="0" applyNumberFormat="1" applyFont="1" applyBorder="1" applyAlignment="1">
      <alignment/>
    </xf>
    <xf numFmtId="0" fontId="10" fillId="0" borderId="36" xfId="0" applyFont="1" applyBorder="1" applyAlignment="1">
      <alignment/>
    </xf>
    <xf numFmtId="0" fontId="10" fillId="0" borderId="24" xfId="0" applyFont="1" applyBorder="1" applyAlignment="1">
      <alignment/>
    </xf>
    <xf numFmtId="0" fontId="10" fillId="0" borderId="24" xfId="0" applyFont="1" applyBorder="1" applyAlignment="1">
      <alignment wrapText="1"/>
    </xf>
    <xf numFmtId="0" fontId="10" fillId="0" borderId="36" xfId="0" applyNumberFormat="1" applyFont="1" applyFill="1" applyBorder="1" applyAlignment="1">
      <alignment/>
    </xf>
    <xf numFmtId="0" fontId="10" fillId="0" borderId="26" xfId="0" applyNumberFormat="1" applyFont="1" applyFill="1" applyBorder="1" applyAlignment="1">
      <alignment/>
    </xf>
    <xf numFmtId="0" fontId="10" fillId="0" borderId="88" xfId="0" applyNumberFormat="1" applyFont="1" applyFill="1" applyBorder="1" applyAlignment="1">
      <alignment/>
    </xf>
    <xf numFmtId="0" fontId="10" fillId="0" borderId="88" xfId="0" applyFont="1" applyFill="1" applyBorder="1" applyAlignment="1">
      <alignment/>
    </xf>
    <xf numFmtId="0" fontId="10" fillId="0" borderId="37" xfId="0" applyFont="1" applyFill="1" applyBorder="1" applyAlignment="1">
      <alignment/>
    </xf>
    <xf numFmtId="0" fontId="45" fillId="0" borderId="0" xfId="0" applyFont="1" applyAlignment="1" quotePrefix="1">
      <alignment horizontal="right"/>
    </xf>
    <xf numFmtId="0" fontId="46" fillId="0" borderId="83" xfId="0" applyFont="1" applyBorder="1" applyAlignment="1">
      <alignment horizontal="right"/>
    </xf>
    <xf numFmtId="0" fontId="46" fillId="0" borderId="84" xfId="0" applyFont="1" applyBorder="1" applyAlignment="1">
      <alignment horizontal="right"/>
    </xf>
    <xf numFmtId="0" fontId="46" fillId="0" borderId="85" xfId="0" applyFont="1" applyBorder="1" applyAlignment="1">
      <alignment horizontal="right"/>
    </xf>
    <xf numFmtId="0" fontId="47" fillId="6" borderId="3" xfId="0" applyFont="1" applyFill="1" applyBorder="1" applyAlignment="1">
      <alignment/>
    </xf>
    <xf numFmtId="0" fontId="47" fillId="6" borderId="0" xfId="0" applyFont="1" applyFill="1" applyBorder="1" applyAlignment="1">
      <alignment/>
    </xf>
    <xf numFmtId="0" fontId="47" fillId="7" borderId="6" xfId="0" applyFont="1" applyFill="1" applyBorder="1" applyAlignment="1" quotePrefix="1">
      <alignment/>
    </xf>
    <xf numFmtId="0" fontId="47" fillId="6" borderId="89" xfId="0" applyFont="1" applyFill="1" applyBorder="1" applyAlignment="1">
      <alignment/>
    </xf>
    <xf numFmtId="0" fontId="47" fillId="6" borderId="90" xfId="0" applyFont="1" applyFill="1" applyBorder="1" applyAlignment="1">
      <alignment/>
    </xf>
    <xf numFmtId="0" fontId="47" fillId="6" borderId="40" xfId="0" applyFont="1" applyFill="1" applyBorder="1" applyAlignment="1">
      <alignment/>
    </xf>
    <xf numFmtId="0" fontId="48" fillId="5" borderId="91" xfId="0" applyFont="1" applyFill="1" applyBorder="1" applyAlignment="1">
      <alignment horizontal="left" wrapText="1"/>
    </xf>
    <xf numFmtId="0" fontId="48" fillId="5" borderId="92" xfId="0" applyFont="1" applyFill="1" applyBorder="1" applyAlignment="1">
      <alignment horizontal="left" wrapText="1"/>
    </xf>
    <xf numFmtId="0" fontId="17" fillId="0" borderId="10" xfId="0" applyNumberFormat="1" applyFont="1" applyBorder="1" applyAlignment="1">
      <alignment/>
    </xf>
    <xf numFmtId="0" fontId="17" fillId="0" borderId="6" xfId="0" applyNumberFormat="1" applyFont="1" applyBorder="1" applyAlignment="1">
      <alignment/>
    </xf>
    <xf numFmtId="0" fontId="17" fillId="0" borderId="36" xfId="0" applyNumberFormat="1" applyFont="1" applyBorder="1" applyAlignment="1">
      <alignment/>
    </xf>
    <xf numFmtId="0" fontId="17" fillId="0" borderId="37" xfId="0" applyNumberFormat="1" applyFont="1" applyBorder="1" applyAlignment="1">
      <alignment/>
    </xf>
    <xf numFmtId="165" fontId="17" fillId="0" borderId="2" xfId="0" applyNumberFormat="1" applyFont="1" applyBorder="1" applyAlignment="1">
      <alignment/>
    </xf>
    <xf numFmtId="2" fontId="17" fillId="0" borderId="34" xfId="0" applyNumberFormat="1" applyFont="1" applyFill="1" applyBorder="1" applyAlignment="1">
      <alignment/>
    </xf>
    <xf numFmtId="0" fontId="10" fillId="0" borderId="6" xfId="0" applyNumberFormat="1" applyFont="1" applyBorder="1" applyAlignment="1">
      <alignment horizontal="right"/>
    </xf>
    <xf numFmtId="0" fontId="10" fillId="0" borderId="6" xfId="0" applyNumberFormat="1" applyFont="1" applyBorder="1" applyAlignment="1">
      <alignment horizontal="center"/>
    </xf>
    <xf numFmtId="0" fontId="10" fillId="0" borderId="6" xfId="0" applyNumberFormat="1" applyFont="1" applyFill="1" applyBorder="1" applyAlignment="1">
      <alignment horizontal="center"/>
    </xf>
    <xf numFmtId="0" fontId="49" fillId="0" borderId="89" xfId="0" applyNumberFormat="1" applyFont="1" applyFill="1" applyBorder="1" applyAlignment="1">
      <alignment horizontal="center"/>
    </xf>
    <xf numFmtId="0" fontId="10" fillId="0" borderId="89" xfId="0" applyNumberFormat="1" applyFont="1" applyFill="1" applyBorder="1" applyAlignment="1">
      <alignment horizontal="center"/>
    </xf>
    <xf numFmtId="0" fontId="10" fillId="0" borderId="6" xfId="0" applyNumberFormat="1" applyFont="1" applyFill="1" applyBorder="1" applyAlignment="1">
      <alignment horizontal="center"/>
    </xf>
    <xf numFmtId="0" fontId="0" fillId="0" borderId="6" xfId="0" applyNumberFormat="1" applyFill="1" applyBorder="1" applyAlignment="1">
      <alignment horizontal="center"/>
    </xf>
    <xf numFmtId="0" fontId="44" fillId="0" borderId="89" xfId="0" applyNumberFormat="1" applyFont="1" applyFill="1" applyBorder="1" applyAlignment="1">
      <alignment horizontal="center"/>
    </xf>
    <xf numFmtId="0" fontId="0" fillId="0" borderId="89" xfId="0" applyNumberFormat="1" applyFill="1" applyBorder="1" applyAlignment="1">
      <alignment horizontal="center"/>
    </xf>
    <xf numFmtId="0" fontId="18" fillId="0" borderId="6" xfId="0" applyNumberFormat="1" applyFont="1" applyFill="1" applyBorder="1" applyAlignment="1">
      <alignment horizontal="center"/>
    </xf>
    <xf numFmtId="0" fontId="10" fillId="0" borderId="10" xfId="0" applyFont="1" applyBorder="1" applyAlignment="1">
      <alignment/>
    </xf>
    <xf numFmtId="0" fontId="24" fillId="0" borderId="0" xfId="0" applyFont="1" applyBorder="1" applyAlignment="1">
      <alignment horizontal="center"/>
    </xf>
    <xf numFmtId="0" fontId="24" fillId="0" borderId="0" xfId="0" applyFont="1" applyAlignment="1">
      <alignment/>
    </xf>
    <xf numFmtId="0" fontId="24" fillId="0" borderId="3" xfId="0" applyFont="1" applyBorder="1" applyAlignment="1">
      <alignment horizontal="center"/>
    </xf>
    <xf numFmtId="0" fontId="4" fillId="3" borderId="93" xfId="0" applyFont="1" applyFill="1" applyBorder="1" applyAlignment="1">
      <alignment horizontal="left"/>
    </xf>
    <xf numFmtId="0" fontId="4" fillId="3" borderId="58" xfId="0" applyFont="1" applyFill="1" applyBorder="1" applyAlignment="1">
      <alignment horizontal="left"/>
    </xf>
    <xf numFmtId="0" fontId="10" fillId="4" borderId="24" xfId="0" applyFont="1" applyFill="1" applyBorder="1" applyAlignment="1">
      <alignment horizontal="left" wrapText="1"/>
    </xf>
    <xf numFmtId="0" fontId="23" fillId="0" borderId="0" xfId="0" applyFont="1" applyFill="1" applyBorder="1" applyAlignment="1">
      <alignment horizontal="center"/>
    </xf>
    <xf numFmtId="0" fontId="10" fillId="3" borderId="41" xfId="0" applyFont="1" applyFill="1" applyBorder="1" applyAlignment="1">
      <alignment/>
    </xf>
    <xf numFmtId="0" fontId="10" fillId="3" borderId="37" xfId="0" applyFont="1" applyFill="1" applyBorder="1" applyAlignment="1">
      <alignment horizontal="center"/>
    </xf>
    <xf numFmtId="0" fontId="15" fillId="4" borderId="15" xfId="0" applyFont="1" applyFill="1" applyBorder="1" applyAlignment="1">
      <alignment horizontal="left" wrapText="1"/>
    </xf>
    <xf numFmtId="0" fontId="4" fillId="3" borderId="94" xfId="0" applyFont="1" applyFill="1" applyBorder="1" applyAlignment="1">
      <alignment horizontal="left"/>
    </xf>
    <xf numFmtId="174" fontId="35" fillId="0" borderId="95" xfId="0" applyNumberFormat="1" applyFont="1" applyBorder="1" applyAlignment="1">
      <alignment horizontal="center"/>
    </xf>
    <xf numFmtId="0" fontId="35" fillId="0" borderId="95" xfId="0" applyFont="1" applyBorder="1" applyAlignment="1">
      <alignment/>
    </xf>
    <xf numFmtId="0" fontId="10" fillId="0" borderId="96" xfId="0" applyFont="1" applyBorder="1" applyAlignment="1">
      <alignment horizontal="center"/>
    </xf>
    <xf numFmtId="174" fontId="10" fillId="0" borderId="95" xfId="0" applyNumberFormat="1" applyFont="1" applyBorder="1" applyAlignment="1">
      <alignment horizontal="center"/>
    </xf>
    <xf numFmtId="0" fontId="10" fillId="0" borderId="95" xfId="0" applyFont="1" applyBorder="1" applyAlignment="1">
      <alignment/>
    </xf>
    <xf numFmtId="174" fontId="35" fillId="0" borderId="97" xfId="0" applyNumberFormat="1" applyFont="1" applyBorder="1" applyAlignment="1">
      <alignment horizontal="center"/>
    </xf>
    <xf numFmtId="0" fontId="35" fillId="0" borderId="97" xfId="0" applyFont="1" applyBorder="1" applyAlignment="1">
      <alignment/>
    </xf>
    <xf numFmtId="0" fontId="36" fillId="0" borderId="97" xfId="0" applyFont="1" applyBorder="1" applyAlignment="1">
      <alignment/>
    </xf>
    <xf numFmtId="0" fontId="10" fillId="0" borderId="97" xfId="0" applyFont="1" applyBorder="1" applyAlignment="1">
      <alignment horizontal="center"/>
    </xf>
    <xf numFmtId="0" fontId="36" fillId="0" borderId="95" xfId="0" applyFont="1" applyBorder="1" applyAlignment="1">
      <alignment/>
    </xf>
    <xf numFmtId="0" fontId="32" fillId="0" borderId="95" xfId="0" applyFont="1" applyBorder="1" applyAlignment="1">
      <alignment horizontal="center"/>
    </xf>
    <xf numFmtId="0" fontId="10" fillId="0" borderId="95" xfId="0" applyFont="1" applyBorder="1" applyAlignment="1">
      <alignment horizontal="center"/>
    </xf>
    <xf numFmtId="0" fontId="35" fillId="0" borderId="98" xfId="0" applyFont="1" applyBorder="1" applyAlignment="1">
      <alignment/>
    </xf>
    <xf numFmtId="0" fontId="35" fillId="0" borderId="97" xfId="0" applyFont="1" applyBorder="1" applyAlignment="1">
      <alignment horizontal="center"/>
    </xf>
    <xf numFmtId="0" fontId="35" fillId="0" borderId="97" xfId="0" applyFont="1" applyBorder="1" applyAlignment="1">
      <alignment horizontal="right"/>
    </xf>
    <xf numFmtId="0" fontId="37" fillId="0" borderId="97" xfId="0" applyFont="1" applyBorder="1" applyAlignment="1">
      <alignment horizontal="center"/>
    </xf>
    <xf numFmtId="0" fontId="35" fillId="0" borderId="99" xfId="0" applyFont="1" applyBorder="1" applyAlignment="1">
      <alignment horizontal="center"/>
    </xf>
    <xf numFmtId="0" fontId="35" fillId="0" borderId="100" xfId="0" applyFont="1" applyBorder="1" applyAlignment="1">
      <alignment/>
    </xf>
    <xf numFmtId="0" fontId="35" fillId="0" borderId="95" xfId="0" applyFont="1" applyBorder="1" applyAlignment="1">
      <alignment horizontal="center"/>
    </xf>
    <xf numFmtId="0" fontId="35" fillId="0" borderId="95" xfId="0" applyFont="1" applyBorder="1" applyAlignment="1">
      <alignment horizontal="right"/>
    </xf>
    <xf numFmtId="0" fontId="37" fillId="0" borderId="95" xfId="0" applyFont="1" applyBorder="1" applyAlignment="1">
      <alignment horizontal="center"/>
    </xf>
    <xf numFmtId="0" fontId="35" fillId="0" borderId="96" xfId="0" applyFont="1" applyBorder="1" applyAlignment="1">
      <alignment horizontal="center"/>
    </xf>
    <xf numFmtId="0" fontId="0" fillId="0" borderId="96" xfId="0" applyBorder="1" applyAlignment="1">
      <alignment/>
    </xf>
    <xf numFmtId="174" fontId="35" fillId="0" borderId="96" xfId="0" applyNumberFormat="1" applyFont="1" applyBorder="1" applyAlignment="1">
      <alignment horizontal="center"/>
    </xf>
    <xf numFmtId="0" fontId="0" fillId="0" borderId="98" xfId="0" applyBorder="1" applyAlignment="1">
      <alignment/>
    </xf>
    <xf numFmtId="0" fontId="0" fillId="0" borderId="97" xfId="0" applyBorder="1" applyAlignment="1">
      <alignment/>
    </xf>
    <xf numFmtId="14" fontId="0" fillId="0" borderId="97" xfId="0" applyNumberFormat="1" applyBorder="1" applyAlignment="1">
      <alignment/>
    </xf>
    <xf numFmtId="2" fontId="0" fillId="0" borderId="97" xfId="0" applyNumberFormat="1" applyBorder="1" applyAlignment="1">
      <alignment/>
    </xf>
    <xf numFmtId="2" fontId="0" fillId="0" borderId="99" xfId="0" applyNumberFormat="1" applyBorder="1" applyAlignment="1">
      <alignment/>
    </xf>
    <xf numFmtId="0" fontId="0" fillId="0" borderId="100" xfId="0" applyBorder="1" applyAlignment="1">
      <alignment/>
    </xf>
    <xf numFmtId="0" fontId="0" fillId="0" borderId="95" xfId="0" applyBorder="1" applyAlignment="1">
      <alignment/>
    </xf>
    <xf numFmtId="14" fontId="0" fillId="0" borderId="95" xfId="0" applyNumberFormat="1" applyBorder="1" applyAlignment="1">
      <alignment/>
    </xf>
    <xf numFmtId="2" fontId="0" fillId="0" borderId="95" xfId="0" applyNumberFormat="1" applyBorder="1" applyAlignment="1">
      <alignment/>
    </xf>
    <xf numFmtId="2" fontId="0" fillId="0" borderId="96" xfId="0" applyNumberFormat="1" applyBorder="1" applyAlignment="1">
      <alignment/>
    </xf>
    <xf numFmtId="0" fontId="0" fillId="0" borderId="101" xfId="0" applyBorder="1" applyAlignment="1">
      <alignment/>
    </xf>
    <xf numFmtId="0" fontId="0" fillId="0" borderId="102" xfId="0" applyBorder="1" applyAlignment="1">
      <alignment/>
    </xf>
    <xf numFmtId="14" fontId="0" fillId="0" borderId="102" xfId="0" applyNumberFormat="1" applyBorder="1" applyAlignment="1">
      <alignment/>
    </xf>
    <xf numFmtId="0" fontId="0" fillId="0" borderId="103" xfId="0" applyBorder="1" applyAlignment="1">
      <alignment/>
    </xf>
    <xf numFmtId="174" fontId="10" fillId="0" borderId="95" xfId="0" applyNumberFormat="1" applyFont="1" applyBorder="1" applyAlignment="1">
      <alignment/>
    </xf>
    <xf numFmtId="0" fontId="38" fillId="0" borderId="95" xfId="0" applyNumberFormat="1" applyFont="1" applyBorder="1" applyAlignment="1" applyProtection="1">
      <alignment/>
      <protection locked="0"/>
    </xf>
    <xf numFmtId="174" fontId="10" fillId="0" borderId="95" xfId="0" applyNumberFormat="1" applyFont="1" applyBorder="1" applyAlignment="1" applyProtection="1">
      <alignment horizontal="center"/>
      <protection locked="0"/>
    </xf>
    <xf numFmtId="0" fontId="10" fillId="0" borderId="95" xfId="0" applyNumberFormat="1" applyFont="1" applyBorder="1" applyAlignment="1" applyProtection="1">
      <alignment/>
      <protection locked="0"/>
    </xf>
    <xf numFmtId="0" fontId="10" fillId="0" borderId="95" xfId="0" applyNumberFormat="1" applyFont="1" applyBorder="1" applyAlignment="1" applyProtection="1">
      <alignment horizontal="center"/>
      <protection locked="0"/>
    </xf>
    <xf numFmtId="0" fontId="10" fillId="0" borderId="95" xfId="0" applyNumberFormat="1" applyFont="1" applyBorder="1" applyAlignment="1" applyProtection="1">
      <alignment horizontal="right"/>
      <protection locked="0"/>
    </xf>
    <xf numFmtId="0" fontId="24" fillId="0" borderId="95" xfId="0" applyNumberFormat="1" applyFont="1" applyBorder="1" applyAlignment="1" applyProtection="1">
      <alignment horizontal="center"/>
      <protection locked="0"/>
    </xf>
    <xf numFmtId="0" fontId="10" fillId="0" borderId="96" xfId="0" applyNumberFormat="1" applyFont="1" applyBorder="1" applyAlignment="1" applyProtection="1">
      <alignment horizontal="center"/>
      <protection locked="0"/>
    </xf>
    <xf numFmtId="0" fontId="38" fillId="0" borderId="95" xfId="0" applyFont="1" applyBorder="1" applyAlignment="1" applyProtection="1">
      <alignment/>
      <protection locked="0"/>
    </xf>
    <xf numFmtId="0" fontId="10" fillId="0" borderId="95" xfId="0" applyFont="1" applyBorder="1" applyAlignment="1" applyProtection="1">
      <alignment/>
      <protection locked="0"/>
    </xf>
    <xf numFmtId="0" fontId="10" fillId="0" borderId="95" xfId="0" applyFont="1" applyBorder="1" applyAlignment="1" applyProtection="1">
      <alignment horizontal="center"/>
      <protection locked="0"/>
    </xf>
    <xf numFmtId="0" fontId="10" fillId="0" borderId="96" xfId="0" applyFont="1" applyBorder="1" applyAlignment="1" applyProtection="1">
      <alignment horizontal="center"/>
      <protection locked="0"/>
    </xf>
    <xf numFmtId="0" fontId="38" fillId="0" borderId="95" xfId="0" applyFont="1" applyBorder="1" applyAlignment="1">
      <alignment/>
    </xf>
    <xf numFmtId="0" fontId="10" fillId="0" borderId="95" xfId="0" applyFont="1" applyBorder="1" applyAlignment="1">
      <alignment horizontal="right"/>
    </xf>
    <xf numFmtId="0" fontId="35" fillId="0" borderId="100" xfId="0" applyFont="1" applyFill="1" applyBorder="1" applyAlignment="1">
      <alignment/>
    </xf>
    <xf numFmtId="0" fontId="35" fillId="0" borderId="95" xfId="0" applyFont="1" applyFill="1" applyBorder="1" applyAlignment="1">
      <alignment/>
    </xf>
    <xf numFmtId="0" fontId="36" fillId="0" borderId="95" xfId="0" applyFont="1" applyFill="1" applyBorder="1" applyAlignment="1">
      <alignment/>
    </xf>
    <xf numFmtId="174" fontId="35" fillId="0" borderId="95" xfId="0" applyNumberFormat="1" applyFont="1" applyFill="1" applyBorder="1" applyAlignment="1">
      <alignment horizontal="center"/>
    </xf>
    <xf numFmtId="0" fontId="35" fillId="0" borderId="95" xfId="0" applyFont="1" applyFill="1" applyBorder="1" applyAlignment="1">
      <alignment horizontal="center"/>
    </xf>
    <xf numFmtId="0" fontId="35" fillId="0" borderId="95" xfId="0" applyFont="1" applyFill="1" applyBorder="1" applyAlignment="1">
      <alignment horizontal="right"/>
    </xf>
    <xf numFmtId="0" fontId="37" fillId="0" borderId="95" xfId="0" applyFont="1" applyFill="1" applyBorder="1" applyAlignment="1">
      <alignment horizontal="center"/>
    </xf>
    <xf numFmtId="0" fontId="35" fillId="0" borderId="96" xfId="0" applyFont="1" applyFill="1" applyBorder="1" applyAlignment="1">
      <alignment horizontal="center"/>
    </xf>
    <xf numFmtId="0" fontId="35" fillId="0" borderId="0" xfId="0" applyFont="1" applyBorder="1" applyAlignment="1">
      <alignment horizontal="center"/>
    </xf>
    <xf numFmtId="1" fontId="35" fillId="0" borderId="0" xfId="0" applyNumberFormat="1" applyFont="1" applyBorder="1" applyAlignment="1">
      <alignment horizontal="center"/>
    </xf>
    <xf numFmtId="180" fontId="35" fillId="0" borderId="0" xfId="0" applyNumberFormat="1" applyFont="1" applyBorder="1" applyAlignment="1" quotePrefix="1">
      <alignment horizontal="center"/>
    </xf>
    <xf numFmtId="180" fontId="35" fillId="0" borderId="0" xfId="0" applyNumberFormat="1" applyFont="1" applyBorder="1" applyAlignment="1">
      <alignment horizontal="center"/>
    </xf>
    <xf numFmtId="175" fontId="10" fillId="0" borderId="0" xfId="0" applyNumberFormat="1" applyFont="1" applyBorder="1" applyAlignment="1">
      <alignment horizontal="center"/>
    </xf>
    <xf numFmtId="0" fontId="43" fillId="6" borderId="3" xfId="0" applyFont="1" applyFill="1" applyBorder="1" applyAlignment="1">
      <alignment horizontal="center" wrapText="1"/>
    </xf>
    <xf numFmtId="0" fontId="0" fillId="0" borderId="97" xfId="0" applyBorder="1" applyAlignment="1">
      <alignment horizontal="center"/>
    </xf>
    <xf numFmtId="0" fontId="0" fillId="0" borderId="99"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164" fontId="0" fillId="0" borderId="95" xfId="0" applyNumberFormat="1"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43" fillId="6" borderId="3" xfId="0" applyFont="1" applyFill="1" applyBorder="1" applyAlignment="1" quotePrefix="1">
      <alignment horizontal="center" wrapText="1"/>
    </xf>
    <xf numFmtId="0" fontId="0" fillId="0" borderId="98" xfId="0" applyBorder="1" applyAlignment="1">
      <alignment horizontal="center"/>
    </xf>
    <xf numFmtId="0" fontId="0" fillId="0" borderId="100" xfId="0" applyBorder="1" applyAlignment="1">
      <alignment horizontal="center"/>
    </xf>
    <xf numFmtId="0" fontId="0" fillId="0" borderId="101" xfId="0" applyBorder="1" applyAlignment="1">
      <alignment horizontal="center"/>
    </xf>
    <xf numFmtId="0" fontId="23" fillId="0" borderId="2" xfId="0" applyFont="1" applyFill="1" applyBorder="1" applyAlignment="1">
      <alignment horizontal="left"/>
    </xf>
    <xf numFmtId="0" fontId="23" fillId="0" borderId="5" xfId="0" applyFont="1" applyFill="1" applyBorder="1" applyAlignment="1">
      <alignment horizontal="left"/>
    </xf>
    <xf numFmtId="0" fontId="23" fillId="0" borderId="5" xfId="0" applyFont="1" applyBorder="1" applyAlignment="1">
      <alignment horizontal="center"/>
    </xf>
    <xf numFmtId="0" fontId="23" fillId="0" borderId="5" xfId="0" applyFont="1" applyFill="1" applyBorder="1" applyAlignment="1">
      <alignment horizontal="center"/>
    </xf>
    <xf numFmtId="0" fontId="23" fillId="0" borderId="3" xfId="0" applyFont="1" applyBorder="1" applyAlignment="1">
      <alignment horizontal="left"/>
    </xf>
    <xf numFmtId="0" fontId="23" fillId="0" borderId="5" xfId="0" applyFont="1" applyBorder="1" applyAlignment="1">
      <alignment horizontal="left"/>
    </xf>
    <xf numFmtId="0" fontId="23" fillId="0" borderId="3" xfId="0" applyFont="1" applyBorder="1" applyAlignment="1">
      <alignment/>
    </xf>
    <xf numFmtId="0" fontId="17" fillId="0" borderId="52" xfId="0" applyFont="1" applyBorder="1" applyAlignment="1">
      <alignment/>
    </xf>
    <xf numFmtId="0" fontId="17" fillId="0" borderId="2" xfId="0" applyFont="1" applyBorder="1" applyAlignment="1">
      <alignment/>
    </xf>
    <xf numFmtId="0" fontId="23" fillId="5" borderId="3" xfId="0" applyFont="1" applyFill="1" applyBorder="1" applyAlignment="1">
      <alignment horizontal="center"/>
    </xf>
    <xf numFmtId="0" fontId="23" fillId="5" borderId="104" xfId="0" applyFont="1" applyFill="1" applyBorder="1" applyAlignment="1">
      <alignment/>
    </xf>
    <xf numFmtId="175" fontId="23" fillId="5" borderId="23" xfId="0" applyNumberFormat="1" applyFont="1" applyFill="1" applyBorder="1" applyAlignment="1">
      <alignment horizontal="center"/>
    </xf>
    <xf numFmtId="181" fontId="23" fillId="0" borderId="3" xfId="0" applyNumberFormat="1" applyFont="1" applyBorder="1" applyAlignment="1">
      <alignment horizontal="right"/>
    </xf>
    <xf numFmtId="172" fontId="0" fillId="0" borderId="3" xfId="0" applyNumberFormat="1" applyFont="1" applyBorder="1" applyAlignment="1">
      <alignment horizontal="right"/>
    </xf>
    <xf numFmtId="173" fontId="0" fillId="0" borderId="3" xfId="0" applyNumberFormat="1" applyFont="1" applyBorder="1" applyAlignment="1">
      <alignment horizontal="right"/>
    </xf>
    <xf numFmtId="165" fontId="0" fillId="0" borderId="3" xfId="0" applyNumberFormat="1" applyFont="1" applyBorder="1" applyAlignment="1">
      <alignment horizontal="right"/>
    </xf>
    <xf numFmtId="164" fontId="0" fillId="0" borderId="3" xfId="0" applyNumberFormat="1" applyFont="1" applyBorder="1" applyAlignment="1">
      <alignment/>
    </xf>
    <xf numFmtId="165" fontId="0" fillId="0" borderId="3" xfId="0" applyNumberFormat="1" applyFont="1" applyBorder="1" applyAlignment="1">
      <alignment/>
    </xf>
    <xf numFmtId="2" fontId="23" fillId="0" borderId="3" xfId="0" applyNumberFormat="1" applyFont="1" applyFill="1" applyBorder="1" applyAlignment="1">
      <alignment horizontal="right"/>
    </xf>
    <xf numFmtId="165" fontId="0" fillId="0" borderId="5" xfId="0" applyNumberFormat="1" applyFont="1" applyBorder="1" applyAlignment="1">
      <alignment/>
    </xf>
    <xf numFmtId="181" fontId="0" fillId="0" borderId="3" xfId="0" applyNumberFormat="1" applyFont="1" applyBorder="1" applyAlignment="1">
      <alignment horizontal="right"/>
    </xf>
    <xf numFmtId="181" fontId="0" fillId="0" borderId="3" xfId="0" applyNumberFormat="1" applyFont="1" applyBorder="1" applyAlignment="1">
      <alignment/>
    </xf>
    <xf numFmtId="181" fontId="0" fillId="0" borderId="5" xfId="0" applyNumberFormat="1" applyFont="1" applyBorder="1" applyAlignment="1">
      <alignment/>
    </xf>
    <xf numFmtId="173" fontId="0" fillId="0" borderId="5" xfId="0" applyNumberFormat="1" applyFont="1" applyBorder="1" applyAlignment="1">
      <alignment/>
    </xf>
    <xf numFmtId="0" fontId="43" fillId="6" borderId="3" xfId="0" applyFont="1" applyFill="1" applyBorder="1" applyAlignment="1">
      <alignment wrapText="1"/>
    </xf>
    <xf numFmtId="0" fontId="43" fillId="8" borderId="3" xfId="0" applyFont="1" applyFill="1" applyBorder="1" applyAlignment="1">
      <alignment wrapText="1"/>
    </xf>
    <xf numFmtId="0" fontId="50" fillId="8" borderId="3" xfId="0" applyFont="1" applyFill="1" applyBorder="1" applyAlignment="1">
      <alignment wrapText="1"/>
    </xf>
    <xf numFmtId="165" fontId="15" fillId="0" borderId="0" xfId="0" applyNumberFormat="1" applyFont="1" applyFill="1" applyBorder="1" applyAlignment="1">
      <alignment/>
    </xf>
    <xf numFmtId="0" fontId="15" fillId="0" borderId="0" xfId="0" applyFont="1" applyFill="1" applyBorder="1" applyAlignment="1">
      <alignment/>
    </xf>
    <xf numFmtId="0" fontId="15" fillId="0" borderId="104" xfId="0" applyFont="1" applyFill="1" applyBorder="1" applyAlignment="1">
      <alignment/>
    </xf>
    <xf numFmtId="0" fontId="7" fillId="0" borderId="0" xfId="0" applyFont="1" applyFill="1" applyBorder="1" applyAlignment="1">
      <alignment/>
    </xf>
    <xf numFmtId="1" fontId="24" fillId="0" borderId="6" xfId="0" applyNumberFormat="1" applyFont="1" applyBorder="1" applyAlignment="1">
      <alignment horizontal="right"/>
    </xf>
    <xf numFmtId="0" fontId="10" fillId="6" borderId="28" xfId="0" applyFont="1" applyFill="1" applyBorder="1" applyAlignment="1">
      <alignment horizontal="center" wrapText="1"/>
    </xf>
    <xf numFmtId="0" fontId="10" fillId="6" borderId="105" xfId="0" applyFont="1" applyFill="1" applyBorder="1" applyAlignment="1">
      <alignment horizontal="center" wrapText="1"/>
    </xf>
    <xf numFmtId="0" fontId="10" fillId="6" borderId="29" xfId="0" applyFont="1" applyFill="1" applyBorder="1" applyAlignment="1">
      <alignment horizontal="center" wrapText="1"/>
    </xf>
    <xf numFmtId="0" fontId="8" fillId="6" borderId="106" xfId="0" applyFont="1" applyFill="1" applyBorder="1" applyAlignment="1">
      <alignment/>
    </xf>
    <xf numFmtId="0" fontId="0" fillId="6" borderId="107" xfId="0" applyFill="1" applyBorder="1" applyAlignment="1">
      <alignment/>
    </xf>
    <xf numFmtId="0" fontId="10" fillId="6" borderId="87" xfId="0" applyFont="1" applyFill="1" applyBorder="1" applyAlignment="1">
      <alignment horizontal="center" wrapText="1"/>
    </xf>
    <xf numFmtId="0" fontId="10" fillId="6" borderId="47" xfId="0" applyFont="1" applyFill="1" applyBorder="1" applyAlignment="1">
      <alignment horizontal="center" wrapText="1"/>
    </xf>
    <xf numFmtId="0" fontId="10" fillId="6" borderId="108" xfId="0" applyFont="1" applyFill="1" applyBorder="1" applyAlignment="1">
      <alignment horizontal="center" wrapText="1"/>
    </xf>
    <xf numFmtId="0" fontId="10" fillId="6" borderId="109" xfId="0" applyFont="1" applyFill="1" applyBorder="1" applyAlignment="1">
      <alignment horizontal="center" wrapText="1"/>
    </xf>
    <xf numFmtId="0" fontId="10" fillId="6" borderId="55" xfId="0" applyFont="1" applyFill="1" applyBorder="1" applyAlignment="1">
      <alignment horizontal="center" wrapText="1"/>
    </xf>
    <xf numFmtId="0" fontId="10" fillId="6" borderId="110" xfId="0" applyFont="1" applyFill="1" applyBorder="1" applyAlignment="1">
      <alignment horizontal="center" wrapText="1"/>
    </xf>
    <xf numFmtId="0" fontId="10" fillId="6" borderId="111" xfId="0" applyFont="1" applyFill="1" applyBorder="1" applyAlignment="1">
      <alignment horizontal="center" wrapText="1"/>
    </xf>
    <xf numFmtId="0" fontId="10" fillId="6" borderId="112" xfId="0" applyFont="1" applyFill="1" applyBorder="1" applyAlignment="1">
      <alignment horizontal="center" wrapText="1"/>
    </xf>
    <xf numFmtId="0" fontId="10" fillId="6" borderId="113" xfId="0" applyFont="1" applyFill="1" applyBorder="1" applyAlignment="1">
      <alignment horizontal="center" wrapText="1"/>
    </xf>
    <xf numFmtId="0" fontId="8" fillId="6" borderId="31" xfId="0" applyFont="1" applyFill="1" applyBorder="1" applyAlignment="1">
      <alignment horizontal="left" wrapText="1"/>
    </xf>
    <xf numFmtId="0" fontId="8" fillId="6" borderId="17" xfId="0" applyFont="1" applyFill="1" applyBorder="1" applyAlignment="1">
      <alignment wrapText="1"/>
    </xf>
    <xf numFmtId="0" fontId="10" fillId="6" borderId="114" xfId="0" applyFont="1" applyFill="1" applyBorder="1" applyAlignment="1">
      <alignment horizontal="center" wrapText="1"/>
    </xf>
    <xf numFmtId="0" fontId="10" fillId="6" borderId="115" xfId="0" applyFont="1" applyFill="1" applyBorder="1" applyAlignment="1">
      <alignment horizontal="center" wrapText="1"/>
    </xf>
    <xf numFmtId="172" fontId="10" fillId="6" borderId="108" xfId="0" applyNumberFormat="1" applyFont="1" applyFill="1" applyBorder="1" applyAlignment="1">
      <alignment horizontal="center" wrapText="1"/>
    </xf>
    <xf numFmtId="172" fontId="10" fillId="6" borderId="47" xfId="0" applyNumberFormat="1" applyFont="1" applyFill="1" applyBorder="1" applyAlignment="1">
      <alignment horizontal="center" wrapText="1"/>
    </xf>
    <xf numFmtId="172" fontId="10" fillId="6" borderId="116" xfId="0" applyNumberFormat="1" applyFont="1" applyFill="1" applyBorder="1" applyAlignment="1">
      <alignment horizontal="center" wrapText="1"/>
    </xf>
    <xf numFmtId="0" fontId="10" fillId="6" borderId="116" xfId="0" applyFont="1" applyFill="1" applyBorder="1" applyAlignment="1">
      <alignment horizontal="center" wrapText="1"/>
    </xf>
    <xf numFmtId="0" fontId="10" fillId="6" borderId="89" xfId="0" applyFont="1" applyFill="1" applyBorder="1" applyAlignment="1">
      <alignment horizontal="center" wrapText="1"/>
    </xf>
    <xf numFmtId="0" fontId="10" fillId="6" borderId="117" xfId="0" applyFont="1" applyFill="1" applyBorder="1" applyAlignment="1">
      <alignment horizontal="center" wrapText="1"/>
    </xf>
    <xf numFmtId="0" fontId="4" fillId="6" borderId="3" xfId="0" applyFont="1" applyFill="1" applyBorder="1" applyAlignment="1">
      <alignment/>
    </xf>
    <xf numFmtId="0" fontId="10" fillId="6" borderId="118" xfId="0" applyFont="1" applyFill="1" applyBorder="1" applyAlignment="1">
      <alignment horizontal="center" wrapText="1"/>
    </xf>
    <xf numFmtId="0" fontId="10" fillId="6" borderId="119" xfId="0" applyFont="1" applyFill="1" applyBorder="1" applyAlignment="1">
      <alignment horizontal="center" wrapText="1"/>
    </xf>
    <xf numFmtId="0" fontId="10" fillId="6" borderId="120" xfId="0" applyFont="1" applyFill="1" applyBorder="1" applyAlignment="1">
      <alignment horizontal="center" wrapText="1"/>
    </xf>
    <xf numFmtId="0" fontId="10" fillId="6" borderId="49" xfId="0" applyFont="1" applyFill="1" applyBorder="1" applyAlignment="1">
      <alignment horizontal="center" wrapText="1"/>
    </xf>
    <xf numFmtId="0" fontId="10" fillId="6" borderId="121" xfId="0" applyFont="1" applyFill="1" applyBorder="1" applyAlignment="1">
      <alignment horizontal="center" wrapText="1"/>
    </xf>
    <xf numFmtId="0" fontId="10" fillId="6" borderId="122" xfId="0" applyFont="1" applyFill="1" applyBorder="1" applyAlignment="1">
      <alignment horizontal="center" wrapText="1"/>
    </xf>
    <xf numFmtId="0" fontId="8" fillId="6" borderId="120" xfId="0" applyFont="1" applyFill="1" applyBorder="1" applyAlignment="1">
      <alignment horizontal="center" wrapText="1"/>
    </xf>
    <xf numFmtId="0" fontId="0" fillId="6" borderId="122" xfId="0" applyFill="1" applyBorder="1" applyAlignment="1">
      <alignment horizontal="center"/>
    </xf>
    <xf numFmtId="0" fontId="10" fillId="6" borderId="123" xfId="0" applyFont="1" applyFill="1" applyBorder="1" applyAlignment="1">
      <alignment horizontal="center"/>
    </xf>
    <xf numFmtId="172" fontId="10" fillId="6" borderId="110" xfId="0" applyNumberFormat="1" applyFont="1" applyFill="1" applyBorder="1" applyAlignment="1">
      <alignment horizontal="center" wrapText="1"/>
    </xf>
    <xf numFmtId="172" fontId="10" fillId="6" borderId="112" xfId="0" applyNumberFormat="1" applyFont="1" applyFill="1" applyBorder="1" applyAlignment="1">
      <alignment horizontal="center" wrapText="1"/>
    </xf>
    <xf numFmtId="172" fontId="10" fillId="6" borderId="121" xfId="0" applyNumberFormat="1" applyFont="1" applyFill="1" applyBorder="1" applyAlignment="1">
      <alignment horizontal="center" wrapText="1"/>
    </xf>
    <xf numFmtId="0" fontId="0" fillId="6" borderId="110" xfId="0" applyFill="1" applyBorder="1" applyAlignment="1">
      <alignment horizontal="center"/>
    </xf>
    <xf numFmtId="0" fontId="0" fillId="6" borderId="121" xfId="0" applyFill="1" applyBorder="1" applyAlignment="1">
      <alignment horizontal="center"/>
    </xf>
    <xf numFmtId="0" fontId="7" fillId="6" borderId="124" xfId="0" applyFont="1" applyFill="1" applyBorder="1" applyAlignment="1">
      <alignment horizontal="center"/>
    </xf>
    <xf numFmtId="0" fontId="7" fillId="6" borderId="27" xfId="0" applyFont="1" applyFill="1" applyBorder="1" applyAlignment="1">
      <alignment horizontal="center" wrapText="1"/>
    </xf>
    <xf numFmtId="0" fontId="7" fillId="6" borderId="125" xfId="0" applyFont="1" applyFill="1" applyBorder="1" applyAlignment="1">
      <alignment horizontal="center"/>
    </xf>
    <xf numFmtId="0" fontId="7" fillId="6" borderId="126" xfId="0" applyFont="1" applyFill="1" applyBorder="1" applyAlignment="1">
      <alignment horizontal="center" wrapText="1"/>
    </xf>
    <xf numFmtId="0" fontId="7" fillId="6" borderId="86" xfId="0" applyFont="1" applyFill="1" applyBorder="1" applyAlignment="1">
      <alignment horizontal="center" wrapText="1"/>
    </xf>
    <xf numFmtId="0" fontId="7" fillId="6" borderId="112" xfId="0" applyFont="1" applyFill="1" applyBorder="1" applyAlignment="1">
      <alignment horizontal="center" wrapText="1"/>
    </xf>
    <xf numFmtId="0" fontId="7" fillId="6" borderId="47" xfId="0" applyFont="1" applyFill="1" applyBorder="1" applyAlignment="1">
      <alignment horizontal="center" wrapText="1"/>
    </xf>
    <xf numFmtId="0" fontId="7" fillId="6" borderId="24" xfId="0" applyFont="1" applyFill="1" applyBorder="1" applyAlignment="1">
      <alignment horizontal="center" wrapText="1"/>
    </xf>
    <xf numFmtId="0" fontId="7" fillId="6" borderId="47" xfId="0" applyFont="1" applyFill="1" applyBorder="1" applyAlignment="1">
      <alignment horizontal="left" wrapText="1"/>
    </xf>
    <xf numFmtId="0" fontId="7" fillId="6" borderId="127" xfId="0" applyFont="1" applyFill="1" applyBorder="1" applyAlignment="1">
      <alignment horizontal="center" wrapText="1"/>
    </xf>
    <xf numFmtId="0" fontId="10" fillId="0" borderId="0" xfId="0" applyFont="1" applyBorder="1" applyAlignment="1">
      <alignment/>
    </xf>
    <xf numFmtId="0" fontId="8" fillId="0" borderId="60" xfId="0" applyFont="1" applyFill="1" applyBorder="1" applyAlignment="1">
      <alignment horizontal="left"/>
    </xf>
    <xf numFmtId="0" fontId="8" fillId="0" borderId="61" xfId="0" applyFont="1" applyFill="1" applyBorder="1" applyAlignment="1">
      <alignment horizontal="left"/>
    </xf>
    <xf numFmtId="0" fontId="10" fillId="0" borderId="4" xfId="0" applyNumberFormat="1" applyFont="1" applyFill="1" applyBorder="1" applyAlignment="1">
      <alignment horizontal="center"/>
    </xf>
    <xf numFmtId="0" fontId="10" fillId="0" borderId="13" xfId="0" applyFont="1" applyBorder="1" applyAlignment="1">
      <alignment horizontal="left"/>
    </xf>
    <xf numFmtId="0" fontId="10" fillId="0" borderId="5" xfId="0" applyFont="1" applyBorder="1" applyAlignment="1">
      <alignment/>
    </xf>
    <xf numFmtId="0" fontId="24" fillId="0" borderId="39" xfId="0" applyFont="1" applyBorder="1" applyAlignment="1">
      <alignment horizontal="center"/>
    </xf>
    <xf numFmtId="0" fontId="24" fillId="0" borderId="87" xfId="0" applyFont="1" applyBorder="1" applyAlignment="1">
      <alignment horizontal="center"/>
    </xf>
    <xf numFmtId="0" fontId="0" fillId="0" borderId="51" xfId="0" applyNumberFormat="1"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4" fillId="0" borderId="68" xfId="0" applyFont="1" applyBorder="1" applyAlignment="1">
      <alignment horizontal="center"/>
    </xf>
    <xf numFmtId="0" fontId="0" fillId="0" borderId="128" xfId="0" applyBorder="1" applyAlignment="1">
      <alignment horizontal="center"/>
    </xf>
    <xf numFmtId="173" fontId="0" fillId="0" borderId="95" xfId="0" applyNumberFormat="1" applyBorder="1" applyAlignment="1">
      <alignment horizontal="center"/>
    </xf>
    <xf numFmtId="173" fontId="0" fillId="0" borderId="96" xfId="0" applyNumberFormat="1" applyBorder="1" applyAlignment="1">
      <alignment horizontal="center"/>
    </xf>
    <xf numFmtId="165" fontId="17" fillId="0" borderId="3" xfId="0" applyNumberFormat="1" applyFont="1" applyBorder="1" applyAlignment="1">
      <alignment/>
    </xf>
    <xf numFmtId="172" fontId="0" fillId="0" borderId="97" xfId="0" applyNumberFormat="1" applyBorder="1" applyAlignment="1">
      <alignment/>
    </xf>
    <xf numFmtId="0" fontId="52" fillId="0" borderId="0" xfId="0" applyFont="1" applyAlignment="1">
      <alignment/>
    </xf>
    <xf numFmtId="0" fontId="53" fillId="0" borderId="3" xfId="0" applyFont="1" applyBorder="1" applyAlignment="1">
      <alignment vertical="top" wrapText="1"/>
    </xf>
    <xf numFmtId="175" fontId="53" fillId="0" borderId="3" xfId="0" applyNumberFormat="1" applyFont="1" applyBorder="1" applyAlignment="1">
      <alignment horizontal="center" vertical="top" wrapText="1"/>
    </xf>
    <xf numFmtId="0" fontId="53" fillId="0" borderId="3" xfId="0" applyFont="1" applyBorder="1" applyAlignment="1">
      <alignment horizontal="center" vertical="top" wrapText="1"/>
    </xf>
    <xf numFmtId="0" fontId="35" fillId="0" borderId="3" xfId="0" applyNumberFormat="1" applyFont="1" applyBorder="1" applyAlignment="1" applyProtection="1">
      <alignment vertical="top" wrapText="1"/>
      <protection locked="0"/>
    </xf>
    <xf numFmtId="0" fontId="35" fillId="0" borderId="3" xfId="0" applyFont="1" applyBorder="1" applyAlignment="1">
      <alignment vertical="top" wrapText="1"/>
    </xf>
    <xf numFmtId="14" fontId="35" fillId="0" borderId="3" xfId="0" applyNumberFormat="1" applyFont="1" applyBorder="1" applyAlignment="1">
      <alignment horizontal="center" vertical="top" wrapText="1"/>
    </xf>
    <xf numFmtId="0" fontId="35" fillId="0" borderId="3" xfId="0" applyFont="1" applyBorder="1" applyAlignment="1">
      <alignment horizontal="center" vertical="top" wrapText="1"/>
    </xf>
    <xf numFmtId="0" fontId="35" fillId="0" borderId="0" xfId="0" applyNumberFormat="1" applyFont="1" applyBorder="1" applyAlignment="1" applyProtection="1">
      <alignment vertical="top"/>
      <protection locked="0"/>
    </xf>
    <xf numFmtId="14" fontId="35" fillId="0" borderId="0" xfId="0" applyNumberFormat="1" applyFont="1" applyBorder="1" applyAlignment="1">
      <alignment horizontal="center" vertical="top" wrapText="1"/>
    </xf>
    <xf numFmtId="0" fontId="35" fillId="0" borderId="0" xfId="0" applyFont="1" applyBorder="1" applyAlignment="1">
      <alignment horizontal="center" vertical="top" wrapText="1"/>
    </xf>
    <xf numFmtId="0" fontId="35" fillId="0" borderId="0" xfId="0" applyFont="1" applyBorder="1" applyAlignment="1">
      <alignment vertical="top" wrapText="1"/>
    </xf>
    <xf numFmtId="0" fontId="0" fillId="0" borderId="0" xfId="0" applyAlignment="1">
      <alignment vertical="top"/>
    </xf>
    <xf numFmtId="0" fontId="35" fillId="0" borderId="0" xfId="0" applyNumberFormat="1" applyFont="1" applyBorder="1" applyAlignment="1" applyProtection="1">
      <alignment vertical="top" wrapText="1"/>
      <protection locked="0"/>
    </xf>
    <xf numFmtId="49" fontId="8" fillId="0" borderId="0" xfId="0" applyNumberFormat="1" applyFont="1" applyAlignment="1">
      <alignment/>
    </xf>
    <xf numFmtId="0" fontId="4" fillId="0" borderId="0" xfId="0" applyFont="1" applyAlignment="1">
      <alignment/>
    </xf>
    <xf numFmtId="0" fontId="8" fillId="0" borderId="0" xfId="0" applyFont="1" applyAlignment="1">
      <alignment horizontal="center"/>
    </xf>
    <xf numFmtId="11" fontId="35" fillId="0" borderId="3" xfId="0" applyNumberFormat="1" applyFont="1" applyBorder="1" applyAlignment="1">
      <alignment horizontal="center" vertical="top" wrapText="1"/>
    </xf>
    <xf numFmtId="0" fontId="42" fillId="0" borderId="3" xfId="0" applyFont="1" applyBorder="1" applyAlignment="1">
      <alignment/>
    </xf>
    <xf numFmtId="11" fontId="42" fillId="0" borderId="3" xfId="0" applyNumberFormat="1" applyFont="1" applyBorder="1" applyAlignment="1">
      <alignment/>
    </xf>
    <xf numFmtId="0" fontId="42" fillId="0" borderId="0" xfId="0" applyFont="1" applyBorder="1" applyAlignment="1">
      <alignment/>
    </xf>
    <xf numFmtId="11" fontId="42" fillId="0" borderId="0" xfId="0" applyNumberFormat="1" applyFont="1" applyFill="1" applyBorder="1" applyAlignment="1">
      <alignment/>
    </xf>
    <xf numFmtId="0" fontId="4" fillId="0" borderId="3" xfId="0" applyFont="1" applyBorder="1" applyAlignment="1">
      <alignment/>
    </xf>
    <xf numFmtId="0" fontId="4" fillId="0" borderId="3" xfId="0" applyFont="1" applyBorder="1" applyAlignment="1">
      <alignment wrapText="1"/>
    </xf>
    <xf numFmtId="0" fontId="4" fillId="0" borderId="3" xfId="0" applyFont="1" applyBorder="1" applyAlignment="1">
      <alignment horizontal="center" wrapText="1"/>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0" xfId="0" applyAlignment="1" quotePrefix="1">
      <alignment horizontal="right"/>
    </xf>
    <xf numFmtId="0" fontId="0" fillId="0" borderId="0" xfId="0" applyAlignment="1">
      <alignment horizontal="left" vertical="top" wrapText="1"/>
    </xf>
    <xf numFmtId="0" fontId="0" fillId="0" borderId="0" xfId="0" applyFill="1" applyBorder="1" applyAlignment="1">
      <alignment horizontal="right"/>
    </xf>
    <xf numFmtId="0" fontId="0" fillId="0" borderId="0" xfId="0" applyAlignment="1" quotePrefix="1">
      <alignment horizontal="right" vertical="top"/>
    </xf>
    <xf numFmtId="49" fontId="0" fillId="0" borderId="0" xfId="0" applyNumberFormat="1" applyAlignment="1">
      <alignment horizontal="right"/>
    </xf>
    <xf numFmtId="0" fontId="4" fillId="0" borderId="0" xfId="0" applyFont="1" applyAlignment="1" quotePrefix="1">
      <alignment/>
    </xf>
    <xf numFmtId="0" fontId="0" fillId="0" borderId="3" xfId="0" applyFont="1" applyBorder="1" applyAlignment="1">
      <alignment wrapText="1"/>
    </xf>
    <xf numFmtId="9" fontId="0" fillId="0" borderId="3" xfId="0" applyNumberFormat="1" applyFont="1" applyBorder="1" applyAlignment="1">
      <alignment horizontal="center" wrapText="1"/>
    </xf>
    <xf numFmtId="1" fontId="0" fillId="0" borderId="3" xfId="0" applyNumberFormat="1" applyFont="1" applyBorder="1" applyAlignment="1">
      <alignment horizontal="center" wrapText="1"/>
    </xf>
    <xf numFmtId="164" fontId="0" fillId="0" borderId="3" xfId="0" applyNumberFormat="1" applyFont="1" applyBorder="1" applyAlignment="1">
      <alignment horizontal="center" wrapText="1"/>
    </xf>
    <xf numFmtId="165" fontId="0" fillId="0" borderId="3" xfId="0" applyNumberFormat="1" applyFont="1" applyBorder="1" applyAlignment="1">
      <alignment horizontal="center" wrapText="1"/>
    </xf>
    <xf numFmtId="1" fontId="0" fillId="0" borderId="10" xfId="0" applyNumberFormat="1" applyFont="1" applyBorder="1" applyAlignment="1">
      <alignment horizontal="right" wrapText="1"/>
    </xf>
    <xf numFmtId="1" fontId="57" fillId="0" borderId="23" xfId="0" applyNumberFormat="1" applyFont="1" applyBorder="1" applyAlignment="1">
      <alignment horizontal="center" wrapText="1"/>
    </xf>
    <xf numFmtId="1" fontId="0" fillId="0" borderId="20" xfId="0" applyNumberFormat="1" applyFont="1" applyBorder="1" applyAlignment="1">
      <alignment horizontal="left" wrapText="1"/>
    </xf>
    <xf numFmtId="1" fontId="0" fillId="0" borderId="3" xfId="0" applyNumberFormat="1" applyBorder="1" applyAlignment="1">
      <alignment horizontal="center" wrapText="1"/>
    </xf>
    <xf numFmtId="2" fontId="0" fillId="0" borderId="3" xfId="0" applyNumberFormat="1" applyFont="1" applyBorder="1" applyAlignment="1">
      <alignment horizontal="center" wrapText="1"/>
    </xf>
    <xf numFmtId="164" fontId="0" fillId="2" borderId="10" xfId="0" applyNumberFormat="1" applyFont="1" applyFill="1" applyBorder="1" applyAlignment="1">
      <alignment horizontal="right" wrapText="1"/>
    </xf>
    <xf numFmtId="1" fontId="57" fillId="2" borderId="23" xfId="0" applyNumberFormat="1" applyFont="1" applyFill="1" applyBorder="1" applyAlignment="1">
      <alignment horizontal="center" wrapText="1"/>
    </xf>
    <xf numFmtId="164" fontId="0" fillId="2" borderId="20" xfId="0" applyNumberFormat="1" applyFont="1" applyFill="1" applyBorder="1" applyAlignment="1">
      <alignment horizontal="left" wrapText="1"/>
    </xf>
    <xf numFmtId="164" fontId="0" fillId="0" borderId="3" xfId="0" applyNumberFormat="1" applyBorder="1" applyAlignment="1">
      <alignment horizontal="center" wrapText="1"/>
    </xf>
    <xf numFmtId="11" fontId="0" fillId="0" borderId="3" xfId="0" applyNumberFormat="1" applyFont="1" applyBorder="1" applyAlignment="1">
      <alignment horizontal="center" wrapText="1"/>
    </xf>
    <xf numFmtId="173" fontId="0" fillId="0" borderId="3" xfId="0" applyNumberFormat="1" applyFont="1" applyBorder="1" applyAlignment="1">
      <alignment horizontal="center" wrapText="1"/>
    </xf>
    <xf numFmtId="0" fontId="0" fillId="0" borderId="10" xfId="0" applyFont="1" applyBorder="1" applyAlignment="1">
      <alignment horizontal="right" wrapText="1"/>
    </xf>
    <xf numFmtId="0" fontId="58" fillId="0" borderId="23" xfId="0" applyFont="1" applyBorder="1" applyAlignment="1" quotePrefix="1">
      <alignment horizontal="center" wrapText="1"/>
    </xf>
    <xf numFmtId="0" fontId="0" fillId="0" borderId="23" xfId="0" applyFont="1" applyBorder="1" applyAlignment="1">
      <alignment horizontal="center" wrapText="1"/>
    </xf>
    <xf numFmtId="0" fontId="0" fillId="0" borderId="3" xfId="0" applyBorder="1" applyAlignment="1">
      <alignment wrapText="1"/>
    </xf>
    <xf numFmtId="169" fontId="0" fillId="0" borderId="3" xfId="0" applyNumberFormat="1" applyBorder="1" applyAlignment="1">
      <alignment horizontal="center" wrapText="1"/>
    </xf>
    <xf numFmtId="0" fontId="0" fillId="0" borderId="3" xfId="0" applyBorder="1" applyAlignment="1" quotePrefix="1">
      <alignment horizontal="center" wrapText="1"/>
    </xf>
    <xf numFmtId="0" fontId="0" fillId="0" borderId="10" xfId="0" applyBorder="1" applyAlignment="1">
      <alignment horizontal="right" wrapText="1"/>
    </xf>
    <xf numFmtId="0" fontId="60" fillId="0" borderId="23" xfId="0" applyFont="1" applyBorder="1" applyAlignment="1" quotePrefix="1">
      <alignment horizontal="center" wrapText="1"/>
    </xf>
    <xf numFmtId="169" fontId="0" fillId="0" borderId="20" xfId="0" applyNumberFormat="1" applyBorder="1" applyAlignment="1">
      <alignment horizontal="left" wrapText="1"/>
    </xf>
    <xf numFmtId="0" fontId="0" fillId="0" borderId="3" xfId="0" applyFill="1" applyBorder="1" applyAlignment="1">
      <alignment wrapText="1"/>
    </xf>
    <xf numFmtId="0" fontId="0" fillId="0" borderId="3" xfId="0" applyBorder="1" applyAlignment="1">
      <alignment horizontal="left" wrapText="1"/>
    </xf>
    <xf numFmtId="172" fontId="0" fillId="0" borderId="10" xfId="0" applyNumberFormat="1" applyFont="1" applyFill="1" applyBorder="1" applyAlignment="1">
      <alignment horizontal="right" wrapText="1"/>
    </xf>
    <xf numFmtId="172" fontId="57" fillId="0" borderId="23" xfId="0" applyNumberFormat="1" applyFont="1" applyFill="1" applyBorder="1" applyAlignment="1">
      <alignment horizontal="center" wrapText="1"/>
    </xf>
    <xf numFmtId="165" fontId="0" fillId="0" borderId="20" xfId="0" applyNumberFormat="1" applyFont="1" applyFill="1" applyBorder="1" applyAlignment="1">
      <alignment horizontal="left" wrapText="1"/>
    </xf>
    <xf numFmtId="165" fontId="0" fillId="0" borderId="10" xfId="0" applyNumberFormat="1" applyFont="1" applyFill="1" applyBorder="1" applyAlignment="1">
      <alignment horizontal="right" wrapText="1"/>
    </xf>
    <xf numFmtId="165" fontId="57" fillId="0" borderId="23" xfId="0" applyNumberFormat="1" applyFont="1" applyFill="1" applyBorder="1" applyAlignment="1">
      <alignment horizontal="center" wrapText="1"/>
    </xf>
    <xf numFmtId="0" fontId="21" fillId="6" borderId="129" xfId="0" applyFont="1" applyFill="1" applyBorder="1" applyAlignment="1">
      <alignment wrapText="1"/>
    </xf>
    <xf numFmtId="0" fontId="33" fillId="5" borderId="130" xfId="0" applyFont="1" applyFill="1" applyBorder="1" applyAlignment="1">
      <alignment vertical="top" wrapText="1"/>
    </xf>
    <xf numFmtId="0" fontId="33" fillId="5" borderId="131" xfId="0" applyFont="1" applyFill="1" applyBorder="1" applyAlignment="1">
      <alignment vertical="top" wrapText="1"/>
    </xf>
    <xf numFmtId="0" fontId="7" fillId="5" borderId="132" xfId="0" applyFont="1" applyFill="1" applyBorder="1" applyAlignment="1">
      <alignment vertical="top" wrapText="1"/>
    </xf>
    <xf numFmtId="0" fontId="23" fillId="5" borderId="10" xfId="0" applyFont="1" applyFill="1" applyBorder="1" applyAlignment="1">
      <alignment horizontal="center"/>
    </xf>
    <xf numFmtId="0" fontId="0" fillId="5" borderId="20" xfId="0" applyFill="1" applyBorder="1" applyAlignment="1">
      <alignment horizontal="center"/>
    </xf>
    <xf numFmtId="0" fontId="4" fillId="6" borderId="114" xfId="0" applyFont="1" applyFill="1" applyBorder="1" applyAlignment="1" quotePrefix="1">
      <alignment horizontal="center"/>
    </xf>
    <xf numFmtId="0" fontId="0" fillId="6" borderId="18" xfId="0" applyFill="1" applyBorder="1" applyAlignment="1">
      <alignment horizontal="center"/>
    </xf>
    <xf numFmtId="0" fontId="0" fillId="6" borderId="94" xfId="0" applyFill="1" applyBorder="1" applyAlignment="1">
      <alignment horizontal="center"/>
    </xf>
    <xf numFmtId="0" fontId="7" fillId="6" borderId="43" xfId="0" applyFont="1" applyFill="1" applyBorder="1" applyAlignment="1" quotePrefix="1">
      <alignment wrapText="1"/>
    </xf>
    <xf numFmtId="0" fontId="7" fillId="6" borderId="12" xfId="0" applyFont="1" applyFill="1" applyBorder="1" applyAlignment="1">
      <alignment wrapText="1"/>
    </xf>
    <xf numFmtId="0" fontId="10" fillId="6" borderId="133" xfId="0" applyFont="1" applyFill="1" applyBorder="1" applyAlignment="1">
      <alignment horizontal="center" wrapText="1"/>
    </xf>
    <xf numFmtId="0" fontId="0" fillId="6" borderId="37" xfId="0" applyFill="1" applyBorder="1" applyAlignment="1">
      <alignment horizontal="center" wrapText="1"/>
    </xf>
    <xf numFmtId="0" fontId="21" fillId="6" borderId="79" xfId="0" applyFont="1" applyFill="1" applyBorder="1" applyAlignment="1">
      <alignment horizontal="center" wrapText="1"/>
    </xf>
    <xf numFmtId="0" fontId="21" fillId="6" borderId="134" xfId="0" applyFont="1" applyFill="1" applyBorder="1" applyAlignment="1">
      <alignment horizontal="center" wrapText="1"/>
    </xf>
    <xf numFmtId="0" fontId="4" fillId="6" borderId="28" xfId="0" applyFont="1" applyFill="1" applyBorder="1" applyAlignment="1">
      <alignment wrapText="1"/>
    </xf>
    <xf numFmtId="0" fontId="4" fillId="6" borderId="105" xfId="0" applyFont="1" applyFill="1" applyBorder="1" applyAlignment="1">
      <alignment wrapText="1"/>
    </xf>
    <xf numFmtId="0" fontId="4" fillId="6" borderId="29" xfId="0" applyFont="1" applyFill="1" applyBorder="1" applyAlignment="1">
      <alignment wrapText="1"/>
    </xf>
    <xf numFmtId="0" fontId="4" fillId="6" borderId="28" xfId="0" applyFont="1" applyFill="1" applyBorder="1" applyAlignment="1">
      <alignment horizontal="center" wrapText="1"/>
    </xf>
    <xf numFmtId="0" fontId="4" fillId="6" borderId="105" xfId="0" applyFont="1" applyFill="1" applyBorder="1" applyAlignment="1">
      <alignment horizontal="center" wrapText="1"/>
    </xf>
    <xf numFmtId="0" fontId="4" fillId="6" borderId="29" xfId="0" applyFont="1" applyFill="1" applyBorder="1" applyAlignment="1">
      <alignment horizontal="center" wrapText="1"/>
    </xf>
    <xf numFmtId="0" fontId="4" fillId="6" borderId="135" xfId="0" applyFont="1" applyFill="1" applyBorder="1" applyAlignment="1">
      <alignment horizontal="center" wrapText="1"/>
    </xf>
    <xf numFmtId="0" fontId="4" fillId="6" borderId="136" xfId="0" applyFont="1" applyFill="1" applyBorder="1" applyAlignment="1">
      <alignment horizontal="center" wrapText="1"/>
    </xf>
    <xf numFmtId="0" fontId="4" fillId="6" borderId="137" xfId="0" applyFont="1" applyFill="1" applyBorder="1" applyAlignment="1">
      <alignment horizontal="center" wrapText="1"/>
    </xf>
    <xf numFmtId="0" fontId="32" fillId="6" borderId="79" xfId="0" applyFont="1" applyFill="1" applyBorder="1" applyAlignment="1">
      <alignment horizontal="center" wrapText="1"/>
    </xf>
    <xf numFmtId="0" fontId="32" fillId="6" borderId="66" xfId="0" applyFont="1" applyFill="1" applyBorder="1" applyAlignment="1">
      <alignment horizontal="center" wrapText="1"/>
    </xf>
    <xf numFmtId="0" fontId="21" fillId="6" borderId="39" xfId="0" applyFont="1" applyFill="1" applyBorder="1" applyAlignment="1">
      <alignment wrapText="1"/>
    </xf>
    <xf numFmtId="0" fontId="21" fillId="6" borderId="43" xfId="0" applyFont="1" applyFill="1" applyBorder="1" applyAlignment="1" quotePrefix="1">
      <alignment wrapText="1"/>
    </xf>
    <xf numFmtId="0" fontId="21" fillId="6" borderId="22" xfId="0" applyFont="1" applyFill="1" applyBorder="1" applyAlignment="1">
      <alignment wrapText="1"/>
    </xf>
    <xf numFmtId="175" fontId="23" fillId="5" borderId="23" xfId="0" applyNumberFormat="1" applyFont="1" applyFill="1" applyBorder="1" applyAlignment="1">
      <alignment horizontal="left"/>
    </xf>
    <xf numFmtId="0" fontId="23" fillId="5" borderId="20" xfId="0" applyFont="1" applyFill="1" applyBorder="1" applyAlignment="1">
      <alignment horizontal="left"/>
    </xf>
    <xf numFmtId="0" fontId="7" fillId="6" borderId="138" xfId="0" applyFont="1" applyFill="1" applyBorder="1" applyAlignment="1">
      <alignment horizontal="center" wrapText="1"/>
    </xf>
    <xf numFmtId="0" fontId="0" fillId="6" borderId="139" xfId="0" applyFill="1" applyBorder="1" applyAlignment="1">
      <alignment/>
    </xf>
    <xf numFmtId="0" fontId="0" fillId="6" borderId="86" xfId="0" applyFill="1" applyBorder="1" applyAlignment="1">
      <alignment/>
    </xf>
    <xf numFmtId="0" fontId="4" fillId="6" borderId="106" xfId="0" applyFont="1" applyFill="1" applyBorder="1" applyAlignment="1">
      <alignment horizontal="center"/>
    </xf>
    <xf numFmtId="0" fontId="0" fillId="6" borderId="107" xfId="0" applyFont="1" applyFill="1" applyBorder="1" applyAlignment="1">
      <alignment horizontal="center"/>
    </xf>
    <xf numFmtId="0" fontId="0" fillId="6" borderId="140" xfId="0" applyFont="1" applyFill="1" applyBorder="1" applyAlignment="1">
      <alignment horizontal="center"/>
    </xf>
    <xf numFmtId="0" fontId="10" fillId="6" borderId="79" xfId="0" applyFont="1" applyFill="1" applyBorder="1" applyAlignment="1">
      <alignment horizontal="center" wrapText="1"/>
    </xf>
    <xf numFmtId="0" fontId="0" fillId="6" borderId="141" xfId="0" applyFill="1" applyBorder="1" applyAlignment="1">
      <alignment horizontal="center" wrapText="1"/>
    </xf>
    <xf numFmtId="0" fontId="10" fillId="6" borderId="65" xfId="0" applyFont="1" applyFill="1" applyBorder="1" applyAlignment="1">
      <alignment horizontal="center" wrapText="1"/>
    </xf>
    <xf numFmtId="0" fontId="0" fillId="6" borderId="66" xfId="0" applyFill="1" applyBorder="1" applyAlignment="1">
      <alignment horizontal="center" wrapText="1"/>
    </xf>
    <xf numFmtId="0" fontId="10" fillId="6" borderId="134" xfId="0" applyFont="1" applyFill="1" applyBorder="1" applyAlignment="1">
      <alignment horizontal="center" wrapText="1"/>
    </xf>
    <xf numFmtId="0" fontId="8" fillId="6" borderId="106" xfId="0" applyFont="1" applyFill="1" applyBorder="1" applyAlignment="1">
      <alignment horizontal="center"/>
    </xf>
    <xf numFmtId="0" fontId="8" fillId="6" borderId="107" xfId="0" applyFont="1" applyFill="1" applyBorder="1" applyAlignment="1">
      <alignment horizontal="center"/>
    </xf>
    <xf numFmtId="0" fontId="0" fillId="6" borderId="140" xfId="0" applyFill="1" applyBorder="1" applyAlignment="1">
      <alignment horizontal="center"/>
    </xf>
    <xf numFmtId="0" fontId="4" fillId="6" borderId="10" xfId="0" applyFont="1" applyFill="1" applyBorder="1" applyAlignment="1" quotePrefix="1">
      <alignment horizontal="left"/>
    </xf>
    <xf numFmtId="0" fontId="4" fillId="6" borderId="23" xfId="0" applyFont="1" applyFill="1" applyBorder="1" applyAlignment="1">
      <alignment horizontal="left"/>
    </xf>
    <xf numFmtId="0" fontId="0" fillId="6" borderId="23" xfId="0" applyFill="1" applyBorder="1" applyAlignment="1">
      <alignment horizontal="left"/>
    </xf>
    <xf numFmtId="0" fontId="0" fillId="6" borderId="20" xfId="0" applyFill="1" applyBorder="1" applyAlignment="1">
      <alignment horizontal="left"/>
    </xf>
    <xf numFmtId="0" fontId="4" fillId="6" borderId="10" xfId="0" applyFont="1" applyFill="1" applyBorder="1" applyAlignment="1">
      <alignment horizontal="left"/>
    </xf>
    <xf numFmtId="0" fontId="23" fillId="5" borderId="10" xfId="0" applyFont="1" applyFill="1" applyBorder="1" applyAlignment="1">
      <alignment horizontal="left"/>
    </xf>
    <xf numFmtId="0" fontId="0" fillId="5" borderId="23" xfId="0" applyFill="1" applyBorder="1" applyAlignment="1">
      <alignment/>
    </xf>
    <xf numFmtId="0" fontId="0" fillId="5" borderId="20" xfId="0" applyFill="1" applyBorder="1" applyAlignment="1">
      <alignment/>
    </xf>
    <xf numFmtId="175" fontId="23" fillId="5" borderId="10" xfId="0" applyNumberFormat="1" applyFont="1" applyFill="1" applyBorder="1" applyAlignment="1">
      <alignment/>
    </xf>
    <xf numFmtId="0" fontId="23" fillId="5" borderId="23" xfId="0" applyFont="1" applyFill="1" applyBorder="1" applyAlignment="1">
      <alignment/>
    </xf>
    <xf numFmtId="0" fontId="49" fillId="6" borderId="142" xfId="21" applyFont="1" applyFill="1" applyBorder="1" applyAlignment="1">
      <alignment horizontal="center"/>
      <protection/>
    </xf>
    <xf numFmtId="0" fontId="49" fillId="6" borderId="143" xfId="21" applyFont="1" applyFill="1" applyBorder="1" applyAlignment="1">
      <alignment horizontal="center"/>
      <protection/>
    </xf>
    <xf numFmtId="0" fontId="15" fillId="4" borderId="144" xfId="0" applyFont="1" applyFill="1" applyBorder="1" applyAlignment="1">
      <alignment horizontal="center" wrapText="1"/>
    </xf>
    <xf numFmtId="0" fontId="10" fillId="4" borderId="35" xfId="0" applyFont="1" applyFill="1" applyBorder="1" applyAlignment="1">
      <alignment horizontal="center"/>
    </xf>
    <xf numFmtId="0" fontId="15" fillId="4" borderId="27" xfId="0" applyFont="1" applyFill="1" applyBorder="1" applyAlignment="1">
      <alignment horizontal="center" wrapText="1"/>
    </xf>
    <xf numFmtId="0" fontId="10" fillId="4" borderId="24" xfId="0" applyFont="1" applyFill="1" applyBorder="1" applyAlignment="1">
      <alignment horizontal="center"/>
    </xf>
    <xf numFmtId="0" fontId="8" fillId="6" borderId="114" xfId="0" applyFont="1" applyFill="1" applyBorder="1" applyAlignment="1">
      <alignment horizontal="center"/>
    </xf>
    <xf numFmtId="0" fontId="8" fillId="6" borderId="17" xfId="0" applyFont="1" applyFill="1" applyBorder="1" applyAlignment="1">
      <alignment horizontal="center"/>
    </xf>
    <xf numFmtId="0" fontId="0" fillId="6" borderId="16" xfId="0" applyFill="1" applyBorder="1" applyAlignment="1">
      <alignment horizontal="center"/>
    </xf>
    <xf numFmtId="0" fontId="51" fillId="6" borderId="33" xfId="0" applyFont="1" applyFill="1" applyBorder="1" applyAlignment="1">
      <alignment horizontal="center" wrapText="1"/>
    </xf>
    <xf numFmtId="0" fontId="4" fillId="6" borderId="145" xfId="0" applyFont="1" applyFill="1" applyBorder="1" applyAlignment="1">
      <alignment/>
    </xf>
    <xf numFmtId="0" fontId="8" fillId="6" borderId="65" xfId="0" applyFont="1" applyFill="1" applyBorder="1" applyAlignment="1">
      <alignment horizontal="left"/>
    </xf>
    <xf numFmtId="0" fontId="0" fillId="6" borderId="134" xfId="0" applyFill="1" applyBorder="1" applyAlignment="1">
      <alignment/>
    </xf>
    <xf numFmtId="0" fontId="7" fillId="6" borderId="27" xfId="0" applyFont="1" applyFill="1" applyBorder="1" applyAlignment="1">
      <alignment horizontal="center" wrapText="1"/>
    </xf>
    <xf numFmtId="0" fontId="0" fillId="6" borderId="24" xfId="0" applyFont="1" applyFill="1" applyBorder="1" applyAlignment="1">
      <alignment horizontal="center"/>
    </xf>
    <xf numFmtId="0" fontId="7" fillId="6" borderId="144" xfId="0" applyFont="1" applyFill="1" applyBorder="1" applyAlignment="1">
      <alignment horizontal="center" wrapText="1"/>
    </xf>
    <xf numFmtId="0" fontId="0" fillId="6" borderId="35" xfId="0" applyFont="1" applyFill="1" applyBorder="1" applyAlignment="1">
      <alignment horizontal="center"/>
    </xf>
    <xf numFmtId="0" fontId="6" fillId="6" borderId="89" xfId="21" applyFont="1" applyFill="1" applyBorder="1" applyAlignment="1">
      <alignment horizontal="center"/>
      <protection/>
    </xf>
    <xf numFmtId="0" fontId="6" fillId="6" borderId="90" xfId="21" applyFont="1" applyFill="1" applyBorder="1" applyAlignment="1">
      <alignment horizontal="center"/>
      <protection/>
    </xf>
    <xf numFmtId="0" fontId="7" fillId="6" borderId="117" xfId="0" applyFont="1" applyFill="1" applyBorder="1" applyAlignment="1">
      <alignment horizontal="center" wrapText="1"/>
    </xf>
    <xf numFmtId="0" fontId="7" fillId="6" borderId="146" xfId="0" applyFont="1" applyFill="1" applyBorder="1" applyAlignment="1">
      <alignment horizontal="center" wrapText="1"/>
    </xf>
    <xf numFmtId="0" fontId="7" fillId="6" borderId="147" xfId="0" applyFont="1" applyFill="1" applyBorder="1" applyAlignment="1">
      <alignment horizontal="center" wrapText="1"/>
    </xf>
    <xf numFmtId="0" fontId="0" fillId="6" borderId="36" xfId="0" applyFont="1" applyFill="1" applyBorder="1" applyAlignment="1">
      <alignment horizontal="center"/>
    </xf>
    <xf numFmtId="0" fontId="7" fillId="6" borderId="27" xfId="0" applyFont="1" applyFill="1" applyBorder="1" applyAlignment="1">
      <alignment horizontal="left" wrapText="1"/>
    </xf>
    <xf numFmtId="0" fontId="0" fillId="6" borderId="24" xfId="0" applyFont="1" applyFill="1" applyBorder="1" applyAlignment="1">
      <alignment horizontal="left" wrapText="1"/>
    </xf>
    <xf numFmtId="0" fontId="0" fillId="6" borderId="24" xfId="0" applyFont="1" applyFill="1" applyBorder="1" applyAlignment="1">
      <alignment horizontal="center" wrapText="1"/>
    </xf>
    <xf numFmtId="0" fontId="25" fillId="0" borderId="0" xfId="0" applyFont="1" applyAlignment="1" quotePrefix="1">
      <alignment/>
    </xf>
    <xf numFmtId="0" fontId="0" fillId="0" borderId="0" xfId="0" applyAlignment="1">
      <alignment/>
    </xf>
    <xf numFmtId="11" fontId="42" fillId="0" borderId="14" xfId="0" applyNumberFormat="1" applyFont="1" applyBorder="1" applyAlignment="1">
      <alignment horizontal="center" vertical="center"/>
    </xf>
    <xf numFmtId="11" fontId="42" fillId="0" borderId="15" xfId="0" applyNumberFormat="1" applyFont="1" applyBorder="1" applyAlignment="1">
      <alignment horizontal="center" vertical="center"/>
    </xf>
    <xf numFmtId="11" fontId="42" fillId="0" borderId="5" xfId="0" applyNumberFormat="1" applyFont="1" applyBorder="1" applyAlignment="1">
      <alignment horizontal="center" vertical="center"/>
    </xf>
    <xf numFmtId="0" fontId="0" fillId="0" borderId="0" xfId="0" applyAlignment="1">
      <alignment horizontal="left" vertical="top" wrapText="1"/>
    </xf>
    <xf numFmtId="0" fontId="0" fillId="0" borderId="10" xfId="0" applyFont="1" applyBorder="1" applyAlignment="1">
      <alignment horizontal="left" wrapText="1"/>
    </xf>
    <xf numFmtId="0" fontId="0" fillId="0" borderId="23" xfId="0" applyFont="1" applyBorder="1" applyAlignment="1">
      <alignment horizontal="left" wrapText="1"/>
    </xf>
    <xf numFmtId="0" fontId="0" fillId="0" borderId="20" xfId="0" applyFont="1" applyBorder="1" applyAlignment="1">
      <alignment horizontal="left" wrapText="1"/>
    </xf>
    <xf numFmtId="0" fontId="0" fillId="0" borderId="10" xfId="0" applyBorder="1" applyAlignment="1">
      <alignment horizontal="left" wrapText="1"/>
    </xf>
    <xf numFmtId="0" fontId="0" fillId="0" borderId="23" xfId="0" applyBorder="1" applyAlignment="1">
      <alignment horizontal="left" wrapText="1"/>
    </xf>
    <xf numFmtId="0" fontId="0" fillId="0" borderId="20" xfId="0" applyBorder="1" applyAlignment="1">
      <alignment horizontal="left" wrapText="1"/>
    </xf>
    <xf numFmtId="0" fontId="4" fillId="0" borderId="10" xfId="0" applyFont="1" applyBorder="1" applyAlignment="1">
      <alignment horizontal="center"/>
    </xf>
    <xf numFmtId="0" fontId="4" fillId="0" borderId="23" xfId="0" applyFont="1" applyBorder="1" applyAlignment="1">
      <alignment horizontal="center"/>
    </xf>
    <xf numFmtId="0" fontId="4" fillId="0" borderId="20" xfId="0" applyFont="1" applyBorder="1" applyAlignment="1">
      <alignment horizontal="center"/>
    </xf>
    <xf numFmtId="0" fontId="10" fillId="0" borderId="11"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CTR and NTR" xfId="21"/>
    <cellStyle name="Percent" xfId="22"/>
  </cellStyles>
  <dxfs count="8">
    <dxf>
      <fill>
        <patternFill>
          <bgColor rgb="FFFFCC99"/>
        </patternFill>
      </fill>
      <border/>
    </dxf>
    <dxf>
      <fill>
        <patternFill>
          <bgColor rgb="FFFF6600"/>
        </patternFill>
      </fill>
      <border/>
    </dxf>
    <dxf>
      <font>
        <b/>
        <i val="0"/>
        <color rgb="FF800000"/>
      </font>
      <border/>
    </dxf>
    <dxf>
      <fill>
        <patternFill>
          <bgColor rgb="FF969696"/>
        </patternFill>
      </fill>
      <border/>
    </dxf>
    <dxf>
      <font>
        <b/>
        <i val="0"/>
        <color rgb="FFFF0000"/>
      </font>
      <border/>
    </dxf>
    <dxf>
      <font>
        <b/>
        <i val="0"/>
        <color rgb="FF000000"/>
      </font>
      <fill>
        <patternFill>
          <bgColor rgb="FF99CCFF"/>
        </patternFill>
      </fill>
      <border/>
    </dxf>
    <dxf>
      <font>
        <b/>
        <i val="0"/>
        <color rgb="FFFF0000"/>
      </font>
      <fill>
        <patternFill>
          <bgColor rgb="FF99CCFF"/>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oleObject" Target="../embeddings/oleObject_13_3.bin" /><Relationship Id="rId5" Type="http://schemas.openxmlformats.org/officeDocument/2006/relationships/vmlDrawing" Target="../drawings/vmlDrawing7.vml" /><Relationship Id="rId6"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H32"/>
  <sheetViews>
    <sheetView zoomScale="90" zoomScaleNormal="90" workbookViewId="0" topLeftCell="A1">
      <selection activeCell="A21" sqref="A21"/>
    </sheetView>
  </sheetViews>
  <sheetFormatPr defaultColWidth="9.140625" defaultRowHeight="12.75"/>
  <cols>
    <col min="1" max="1" width="45.421875" style="0" customWidth="1"/>
    <col min="2" max="2" width="25.57421875" style="0" customWidth="1"/>
    <col min="3" max="3" width="54.421875" style="0" customWidth="1"/>
    <col min="4" max="4" width="4.140625" style="0" customWidth="1"/>
    <col min="5" max="5" width="6.7109375" style="0" hidden="1" customWidth="1"/>
    <col min="6" max="6" width="10.421875" style="0" customWidth="1"/>
    <col min="7" max="7" width="23.140625" style="0" customWidth="1"/>
  </cols>
  <sheetData>
    <row r="1" spans="1:2" ht="13.5" thickBot="1">
      <c r="A1" s="273" t="s">
        <v>285</v>
      </c>
      <c r="B1" s="274"/>
    </row>
    <row r="2" spans="1:5" ht="13.5" thickBot="1">
      <c r="A2" s="275" t="s">
        <v>302</v>
      </c>
      <c r="B2" s="276" t="s">
        <v>438</v>
      </c>
      <c r="C2" s="276" t="s">
        <v>306</v>
      </c>
      <c r="E2" s="332" t="s">
        <v>433</v>
      </c>
    </row>
    <row r="3" spans="1:5" ht="12.75">
      <c r="A3" s="221" t="s">
        <v>280</v>
      </c>
      <c r="B3" s="293" t="s">
        <v>458</v>
      </c>
      <c r="C3" s="419"/>
      <c r="E3" s="286">
        <f>IF(OR(LEFT(C3,3)="Err",LEFT(C3,3)="Ple",LEFT(C3,3)="War"),1,"")</f>
      </c>
    </row>
    <row r="4" spans="1:5" ht="12.75">
      <c r="A4" s="225" t="s">
        <v>311</v>
      </c>
      <c r="B4" s="294" t="s">
        <v>312</v>
      </c>
      <c r="C4" s="419"/>
      <c r="E4" s="287">
        <f>IF(OR(LEFT(C4,3)="Err",LEFT(C4,3)="Ple",LEFT(C4,3)="War"),1,"")</f>
      </c>
    </row>
    <row r="5" spans="1:5" ht="12.75">
      <c r="A5" s="219"/>
      <c r="B5" s="284"/>
      <c r="C5" s="420"/>
      <c r="E5" s="287"/>
    </row>
    <row r="6" spans="1:5" ht="12.75">
      <c r="A6" s="222" t="s">
        <v>489</v>
      </c>
      <c r="B6" s="292">
        <v>36892</v>
      </c>
      <c r="C6" s="419">
        <f>IF(AND(B6&gt;B7,B7&lt;&gt;""),"Error:  End Date must be after Begin Date",IF(B6="","Note, will select effluent data as far back as possible",""))</f>
      </c>
      <c r="E6" s="287">
        <f>IF(OR(LEFT(C6,3)="Err",LEFT(C6,3)="Ple",LEFT(C6,3)="War"),1,"")</f>
      </c>
    </row>
    <row r="7" spans="1:5" ht="12.75">
      <c r="A7" s="222" t="s">
        <v>490</v>
      </c>
      <c r="B7" s="292">
        <v>38808</v>
      </c>
      <c r="C7" s="419">
        <f>IF(AND(B6&gt;B7,B7&lt;&gt;""),"Error:  End Date must be after Begin Date",IF(B7="","Note, will select effluent data as recent as possible",""))</f>
      </c>
      <c r="E7" s="287">
        <f aca="true" t="shared" si="0" ref="E7:E15">IF(OR(LEFT(C7,3)="Err",LEFT(C7,3)="Ple",LEFT(C7,3)="War"),1,"")</f>
      </c>
    </row>
    <row r="8" spans="1:5" ht="12.75">
      <c r="A8" s="220"/>
      <c r="B8" s="284"/>
      <c r="C8" s="420"/>
      <c r="E8" s="287"/>
    </row>
    <row r="9" spans="1:5" ht="12.75">
      <c r="A9" s="222" t="s">
        <v>308</v>
      </c>
      <c r="B9" s="285">
        <v>48</v>
      </c>
      <c r="C9" s="419">
        <f>IF(B9&gt;400,"Note, normally hardness is not allowed above 400 mg/L",IF(OR(B9&lt;0,B9=""),"Please enter a hardness concentration",""))</f>
      </c>
      <c r="E9" s="287">
        <f t="shared" si="0"/>
      </c>
    </row>
    <row r="10" spans="1:5" ht="12.75">
      <c r="A10" s="222" t="s">
        <v>307</v>
      </c>
      <c r="B10" s="285">
        <v>8.3</v>
      </c>
      <c r="C10" s="419">
        <f>IF(B10&lt;=0,"Please enter pH of receiving water","")</f>
      </c>
      <c r="E10" s="287">
        <f t="shared" si="0"/>
      </c>
    </row>
    <row r="11" spans="1:5" ht="18" customHeight="1">
      <c r="A11" s="222" t="s">
        <v>309</v>
      </c>
      <c r="B11" s="285">
        <v>3</v>
      </c>
      <c r="C11" s="419">
        <f>IF(AND(B11&lt;&gt;1,B11&lt;&gt;2,B11&lt;&gt;3),"Please select a salinity classification","")</f>
      </c>
      <c r="E11" s="287">
        <f t="shared" si="0"/>
      </c>
    </row>
    <row r="12" spans="1:5" ht="12.75" customHeight="1">
      <c r="A12" s="222" t="s">
        <v>286</v>
      </c>
      <c r="B12" s="285" t="s">
        <v>47</v>
      </c>
      <c r="C12" s="419" t="str">
        <f>IF(B12="Y","(enter translator in columns AD &amp; AE of 'Criteria' sheet)",IF(AND(B12&lt;&gt;"N",B12&lt;&gt;"Y"),"Please answer 'Y' or 'N' whether site-specific translator exists",""))</f>
        <v>(enter translator in columns AD &amp; AE of 'Criteria' sheet)</v>
      </c>
      <c r="E12" s="287">
        <f t="shared" si="0"/>
      </c>
    </row>
    <row r="13" spans="1:5" ht="17.25" customHeight="1">
      <c r="A13" s="225" t="s">
        <v>289</v>
      </c>
      <c r="B13" s="285">
        <v>1</v>
      </c>
      <c r="C13" s="419">
        <f>IF(B13="","Please make a selection","")</f>
      </c>
      <c r="E13" s="287">
        <f t="shared" si="0"/>
      </c>
    </row>
    <row r="14" spans="1:5" ht="12.75">
      <c r="A14" s="219"/>
      <c r="B14" s="284"/>
      <c r="C14" s="420"/>
      <c r="E14" s="287"/>
    </row>
    <row r="15" spans="1:5" ht="13.5" thickBot="1">
      <c r="A15" s="223" t="s">
        <v>281</v>
      </c>
      <c r="B15" s="291">
        <v>9</v>
      </c>
      <c r="C15" s="419">
        <f>IF(OR(B15&lt;0,B15=""),"Please enter a dilution factor","")</f>
      </c>
      <c r="E15" s="28">
        <f t="shared" si="0"/>
      </c>
    </row>
    <row r="16" spans="3:5" ht="12.75">
      <c r="C16" s="690" t="str">
        <f>IF(zInputErrorCount&gt;0,"Please respond to above messages on input. There are *** "&amp;zInputErrorCount&amp;" *** missing information or errors.","The above input is fine now.")</f>
        <v>The above input is fine now.</v>
      </c>
      <c r="E16" s="33">
        <f>SUM(E3:E15)</f>
        <v>0</v>
      </c>
    </row>
    <row r="17" ht="12.75">
      <c r="C17" s="691"/>
    </row>
    <row r="18" ht="13.5" thickBot="1">
      <c r="C18" s="692"/>
    </row>
    <row r="22" spans="6:8" ht="13.5" hidden="1" thickTop="1">
      <c r="F22" s="347"/>
      <c r="G22" s="348"/>
      <c r="H22" s="349"/>
    </row>
    <row r="23" spans="6:8" ht="12.75" hidden="1">
      <c r="F23" s="355" t="s">
        <v>437</v>
      </c>
      <c r="G23" s="346"/>
      <c r="H23" s="351"/>
    </row>
    <row r="24" spans="6:8" ht="12.75" hidden="1">
      <c r="F24" s="350"/>
      <c r="G24" s="346"/>
      <c r="H24" s="351"/>
    </row>
    <row r="25" spans="6:8" ht="14.25" hidden="1">
      <c r="F25" s="415" t="str">
        <f>IF(B11=1,G25,IF(B11=2,G26,IF(B11=3,G27,"Error??")))</f>
        <v>Estuarine</v>
      </c>
      <c r="G25" s="413" t="s">
        <v>38</v>
      </c>
      <c r="H25" s="351"/>
    </row>
    <row r="26" spans="1:8" ht="14.25" hidden="1">
      <c r="A26" s="218"/>
      <c r="F26" s="416"/>
      <c r="G26" s="413" t="s">
        <v>39</v>
      </c>
      <c r="H26" s="351"/>
    </row>
    <row r="27" spans="6:8" ht="14.25" hidden="1">
      <c r="F27" s="417"/>
      <c r="G27" s="413" t="s">
        <v>284</v>
      </c>
      <c r="H27" s="351"/>
    </row>
    <row r="28" spans="6:8" ht="14.25" hidden="1">
      <c r="F28" s="418"/>
      <c r="G28" s="414"/>
      <c r="H28" s="351"/>
    </row>
    <row r="29" spans="6:8" ht="14.25" hidden="1">
      <c r="F29" s="415" t="str">
        <f>IF(B13=1,G29,IF(B13=2,G30,IF(B13=3,G31,"Error??")))</f>
        <v>None</v>
      </c>
      <c r="G29" s="413" t="s">
        <v>305</v>
      </c>
      <c r="H29" s="351"/>
    </row>
    <row r="30" spans="6:8" ht="14.25" hidden="1">
      <c r="F30" s="418"/>
      <c r="G30" s="413" t="s">
        <v>291</v>
      </c>
      <c r="H30" s="351"/>
    </row>
    <row r="31" spans="6:8" ht="14.25" hidden="1">
      <c r="F31" s="350"/>
      <c r="G31" s="413" t="s">
        <v>292</v>
      </c>
      <c r="H31" s="351"/>
    </row>
    <row r="32" spans="6:8" ht="13.5" hidden="1" thickBot="1">
      <c r="F32" s="352"/>
      <c r="G32" s="353"/>
      <c r="H32" s="354"/>
    </row>
  </sheetData>
  <mergeCells count="1">
    <mergeCell ref="C16:C18"/>
  </mergeCells>
  <conditionalFormatting sqref="C16:C18">
    <cfRule type="expression" priority="1" dxfId="0" stopIfTrue="1">
      <formula>IF(E16&gt;0,1,0)</formula>
    </cfRule>
  </conditionalFormatting>
  <conditionalFormatting sqref="C3:C15">
    <cfRule type="expression" priority="2" dxfId="0" stopIfTrue="1">
      <formula>IF(E3=1,1,0)</formula>
    </cfRule>
  </conditionalFormatting>
  <conditionalFormatting sqref="E16">
    <cfRule type="cellIs" priority="3" dxfId="1" operator="greaterThan" stopIfTrue="1">
      <formula>0</formula>
    </cfRule>
  </conditionalFormatting>
  <printOptions/>
  <pageMargins left="0.75" right="0.75" top="1.3" bottom="1" header="0.5" footer="0.5"/>
  <pageSetup fitToHeight="1" fitToWidth="1" horizontalDpi="300" verticalDpi="300" orientation="landscape" scale="98" r:id="rId3"/>
  <headerFooter alignWithMargins="0">
    <oddHeader>&amp;C&amp;14General RPA Input Information&amp;R&amp;12Rodeo Sanitary District
Tentative Order</oddHeader>
    <oddFooter>&amp;L&amp;F.xls &amp;   (&amp;A&amp; )&amp;CPage &amp;P of &amp;N&amp;R&amp;D</oddFooter>
  </headerFooter>
  <legacy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J125"/>
  <sheetViews>
    <sheetView zoomScale="80" zoomScaleNormal="80" workbookViewId="0" topLeftCell="A1">
      <pane ySplit="1" topLeftCell="BM2" activePane="bottomLeft" state="frozen"/>
      <selection pane="topLeft" activeCell="A1" sqref="A1"/>
      <selection pane="bottomLeft" activeCell="D16" sqref="D16"/>
    </sheetView>
  </sheetViews>
  <sheetFormatPr defaultColWidth="9.140625" defaultRowHeight="12.75"/>
  <cols>
    <col min="1" max="1" width="8.140625" style="0" customWidth="1"/>
    <col min="2" max="2" width="24.8515625" style="0" customWidth="1"/>
    <col min="4" max="4" width="19.421875" style="0" customWidth="1"/>
    <col min="5" max="5" width="13.57421875" style="3" customWidth="1"/>
    <col min="6" max="6" width="11.00390625" style="3" customWidth="1"/>
    <col min="7" max="7" width="12.28125" style="3" customWidth="1"/>
    <col min="8" max="8" width="12.140625" style="3" customWidth="1"/>
    <col min="9" max="9" width="17.7109375" style="3" customWidth="1"/>
    <col min="10" max="10" width="13.00390625" style="0" customWidth="1"/>
  </cols>
  <sheetData>
    <row r="1" spans="1:9" ht="38.25">
      <c r="A1" s="514" t="s">
        <v>464</v>
      </c>
      <c r="B1" s="514" t="s">
        <v>465</v>
      </c>
      <c r="C1" s="514" t="s">
        <v>510</v>
      </c>
      <c r="D1" s="522" t="s">
        <v>470</v>
      </c>
      <c r="E1" s="514" t="s">
        <v>468</v>
      </c>
      <c r="F1" s="514" t="s">
        <v>520</v>
      </c>
      <c r="G1" s="514" t="s">
        <v>467</v>
      </c>
      <c r="H1" s="514" t="s">
        <v>469</v>
      </c>
      <c r="I1" s="514" t="s">
        <v>466</v>
      </c>
    </row>
    <row r="2" spans="1:9" ht="12.75">
      <c r="A2" s="523">
        <v>1</v>
      </c>
      <c r="B2" s="515" t="s">
        <v>46</v>
      </c>
      <c r="C2" s="515">
        <v>14</v>
      </c>
      <c r="D2" s="515" t="s">
        <v>0</v>
      </c>
      <c r="E2" s="515">
        <v>4300</v>
      </c>
      <c r="F2" s="515" t="s">
        <v>521</v>
      </c>
      <c r="G2" s="515">
        <v>0.47</v>
      </c>
      <c r="H2" s="516">
        <v>1.8</v>
      </c>
      <c r="I2" s="616" t="s">
        <v>463</v>
      </c>
    </row>
    <row r="3" spans="1:9" ht="12.75">
      <c r="A3" s="524">
        <v>2</v>
      </c>
      <c r="B3" s="517" t="s">
        <v>147</v>
      </c>
      <c r="C3" s="517">
        <v>20</v>
      </c>
      <c r="D3" s="517" t="s">
        <v>1</v>
      </c>
      <c r="E3" s="517">
        <v>36</v>
      </c>
      <c r="F3" s="517" t="s">
        <v>522</v>
      </c>
      <c r="G3" s="517">
        <v>8.2</v>
      </c>
      <c r="H3" s="518">
        <v>2.46</v>
      </c>
      <c r="I3" s="617" t="s">
        <v>463</v>
      </c>
    </row>
    <row r="4" spans="1:9" ht="12.75">
      <c r="A4" s="524">
        <v>3</v>
      </c>
      <c r="B4" s="517" t="s">
        <v>189</v>
      </c>
      <c r="C4" s="517">
        <v>14</v>
      </c>
      <c r="D4" s="517" t="s">
        <v>0</v>
      </c>
      <c r="E4" s="517" t="s">
        <v>491</v>
      </c>
      <c r="F4" s="517"/>
      <c r="G4" s="517" t="s">
        <v>12</v>
      </c>
      <c r="H4" s="518">
        <v>0.215</v>
      </c>
      <c r="I4" s="617" t="s">
        <v>511</v>
      </c>
    </row>
    <row r="5" spans="1:9" ht="12.75">
      <c r="A5" s="524">
        <v>4</v>
      </c>
      <c r="B5" s="517" t="s">
        <v>190</v>
      </c>
      <c r="C5" s="517">
        <v>20</v>
      </c>
      <c r="D5" s="517" t="s">
        <v>1</v>
      </c>
      <c r="E5" s="519">
        <v>1.3835698872200755</v>
      </c>
      <c r="F5" s="517" t="s">
        <v>523</v>
      </c>
      <c r="G5" s="517" t="s">
        <v>9</v>
      </c>
      <c r="H5" s="518">
        <v>0.1268</v>
      </c>
      <c r="I5" s="617" t="s">
        <v>463</v>
      </c>
    </row>
    <row r="6" spans="1:10" ht="12.75">
      <c r="A6" s="524">
        <v>5.099999904632568</v>
      </c>
      <c r="B6" s="517" t="s">
        <v>244</v>
      </c>
      <c r="C6" s="517">
        <v>0</v>
      </c>
      <c r="D6" s="517"/>
      <c r="E6" s="519">
        <v>113.46717952609072</v>
      </c>
      <c r="F6" s="517" t="s">
        <v>523</v>
      </c>
      <c r="G6" s="517" t="s">
        <v>509</v>
      </c>
      <c r="H6" s="518" t="s">
        <v>509</v>
      </c>
      <c r="I6" s="617" t="s">
        <v>512</v>
      </c>
      <c r="J6" s="299"/>
    </row>
    <row r="7" spans="1:9" ht="12.75">
      <c r="A7" s="524">
        <v>5.199999809265137</v>
      </c>
      <c r="B7" s="517" t="s">
        <v>243</v>
      </c>
      <c r="C7" s="517">
        <v>19</v>
      </c>
      <c r="D7" s="517" t="s">
        <v>1</v>
      </c>
      <c r="E7" s="519">
        <v>11</v>
      </c>
      <c r="F7" s="517" t="s">
        <v>523</v>
      </c>
      <c r="G7" s="517">
        <v>1.2</v>
      </c>
      <c r="H7" s="518">
        <v>4.4</v>
      </c>
      <c r="I7" s="617" t="s">
        <v>463</v>
      </c>
    </row>
    <row r="8" spans="1:9" ht="12.75">
      <c r="A8" s="524">
        <v>6</v>
      </c>
      <c r="B8" s="517" t="s">
        <v>191</v>
      </c>
      <c r="C8" s="517">
        <v>51</v>
      </c>
      <c r="D8" s="517" t="s">
        <v>527</v>
      </c>
      <c r="E8" s="519">
        <v>10.04526284379562</v>
      </c>
      <c r="F8" s="517" t="s">
        <v>523</v>
      </c>
      <c r="G8" s="517">
        <v>6.5</v>
      </c>
      <c r="H8" s="518">
        <v>2.45</v>
      </c>
      <c r="I8" s="617" t="s">
        <v>463</v>
      </c>
    </row>
    <row r="9" spans="1:9" ht="12.75">
      <c r="A9" s="524">
        <v>7</v>
      </c>
      <c r="B9" s="517" t="s">
        <v>192</v>
      </c>
      <c r="C9" s="517">
        <v>22</v>
      </c>
      <c r="D9" s="517" t="s">
        <v>1</v>
      </c>
      <c r="E9" s="519">
        <v>1.249869176310832</v>
      </c>
      <c r="F9" s="517" t="s">
        <v>523</v>
      </c>
      <c r="G9" s="517">
        <v>0.57</v>
      </c>
      <c r="H9" s="518">
        <v>0.8</v>
      </c>
      <c r="I9" s="617" t="s">
        <v>463</v>
      </c>
    </row>
    <row r="10" spans="1:9" ht="12.75">
      <c r="A10" s="524">
        <v>8</v>
      </c>
      <c r="B10" s="517" t="s">
        <v>193</v>
      </c>
      <c r="C10" s="517">
        <v>28</v>
      </c>
      <c r="D10" s="517" t="s">
        <v>2</v>
      </c>
      <c r="E10" s="517">
        <v>0.025</v>
      </c>
      <c r="F10" s="517" t="s">
        <v>523</v>
      </c>
      <c r="G10" s="517">
        <v>0.014</v>
      </c>
      <c r="H10" s="518">
        <v>0.0086</v>
      </c>
      <c r="I10" s="618" t="s">
        <v>435</v>
      </c>
    </row>
    <row r="11" spans="1:9" ht="12.75">
      <c r="A11" s="524">
        <v>9</v>
      </c>
      <c r="B11" s="517" t="s">
        <v>194</v>
      </c>
      <c r="C11" s="517">
        <v>20</v>
      </c>
      <c r="D11" s="517" t="s">
        <v>1</v>
      </c>
      <c r="E11" s="519">
        <v>103.52000366864004</v>
      </c>
      <c r="F11" s="517" t="s">
        <v>523</v>
      </c>
      <c r="G11" s="517">
        <v>6</v>
      </c>
      <c r="H11" s="518">
        <v>3.7</v>
      </c>
      <c r="I11" s="617" t="s">
        <v>463</v>
      </c>
    </row>
    <row r="12" spans="1:9" ht="12.75">
      <c r="A12" s="524">
        <v>10</v>
      </c>
      <c r="B12" s="517" t="s">
        <v>195</v>
      </c>
      <c r="C12" s="517">
        <v>21</v>
      </c>
      <c r="D12" s="517" t="s">
        <v>1</v>
      </c>
      <c r="E12" s="519">
        <v>5</v>
      </c>
      <c r="F12" s="517" t="s">
        <v>298</v>
      </c>
      <c r="G12" s="517">
        <v>1.1</v>
      </c>
      <c r="H12" s="518">
        <v>0.39</v>
      </c>
      <c r="I12" s="617" t="s">
        <v>463</v>
      </c>
    </row>
    <row r="13" spans="1:9" ht="12.75">
      <c r="A13" s="524">
        <v>11</v>
      </c>
      <c r="B13" s="517" t="s">
        <v>196</v>
      </c>
      <c r="C13" s="517">
        <v>19</v>
      </c>
      <c r="D13" s="517" t="s">
        <v>1</v>
      </c>
      <c r="E13" s="519">
        <v>1.1485103315097878</v>
      </c>
      <c r="F13" s="517" t="s">
        <v>523</v>
      </c>
      <c r="G13" s="517">
        <v>0.1</v>
      </c>
      <c r="H13" s="518">
        <v>0.0516</v>
      </c>
      <c r="I13" s="617" t="s">
        <v>463</v>
      </c>
    </row>
    <row r="14" spans="1:9" ht="12.75">
      <c r="A14" s="524">
        <v>12</v>
      </c>
      <c r="B14" s="517" t="s">
        <v>49</v>
      </c>
      <c r="C14" s="517">
        <v>13</v>
      </c>
      <c r="D14" s="517" t="s">
        <v>3</v>
      </c>
      <c r="E14" s="519">
        <v>6.3</v>
      </c>
      <c r="F14" s="517" t="s">
        <v>521</v>
      </c>
      <c r="G14" s="517">
        <v>0.06</v>
      </c>
      <c r="H14" s="518">
        <v>0.21</v>
      </c>
      <c r="I14" s="617" t="s">
        <v>463</v>
      </c>
    </row>
    <row r="15" spans="1:9" ht="12.75">
      <c r="A15" s="524">
        <v>13</v>
      </c>
      <c r="B15" s="517" t="s">
        <v>197</v>
      </c>
      <c r="C15" s="517">
        <v>20</v>
      </c>
      <c r="D15" s="517" t="s">
        <v>1</v>
      </c>
      <c r="E15" s="519">
        <v>64.33273608509161</v>
      </c>
      <c r="F15" s="517" t="s">
        <v>523</v>
      </c>
      <c r="G15" s="517">
        <v>68</v>
      </c>
      <c r="H15" s="518">
        <v>4.4</v>
      </c>
      <c r="I15" s="618" t="s">
        <v>435</v>
      </c>
    </row>
    <row r="16" spans="1:9" ht="12.75">
      <c r="A16" s="524">
        <v>14</v>
      </c>
      <c r="B16" s="517" t="s">
        <v>198</v>
      </c>
      <c r="C16" s="517">
        <v>46</v>
      </c>
      <c r="D16" s="517" t="s">
        <v>4</v>
      </c>
      <c r="E16" s="517">
        <v>1</v>
      </c>
      <c r="F16" s="517" t="s">
        <v>298</v>
      </c>
      <c r="G16" s="517">
        <v>8</v>
      </c>
      <c r="H16" s="518" t="s">
        <v>15</v>
      </c>
      <c r="I16" s="618" t="s">
        <v>435</v>
      </c>
    </row>
    <row r="17" spans="1:9" ht="12.75">
      <c r="A17" s="524">
        <v>15</v>
      </c>
      <c r="B17" s="517" t="s">
        <v>50</v>
      </c>
      <c r="C17" s="517">
        <v>0</v>
      </c>
      <c r="D17" s="517"/>
      <c r="E17" s="517" t="s">
        <v>491</v>
      </c>
      <c r="F17" s="517"/>
      <c r="G17" s="517" t="s">
        <v>509</v>
      </c>
      <c r="H17" s="518" t="s">
        <v>509</v>
      </c>
      <c r="I17" s="617" t="s">
        <v>511</v>
      </c>
    </row>
    <row r="18" spans="1:9" ht="12.75">
      <c r="A18" s="524">
        <v>16</v>
      </c>
      <c r="B18" s="517" t="s">
        <v>260</v>
      </c>
      <c r="C18" s="517">
        <v>5</v>
      </c>
      <c r="D18" s="517" t="s">
        <v>5</v>
      </c>
      <c r="E18" s="620">
        <v>1.4E-08</v>
      </c>
      <c r="F18" s="517" t="s">
        <v>524</v>
      </c>
      <c r="G18" s="517">
        <v>4.1369000000000005E-08</v>
      </c>
      <c r="H18" s="621">
        <v>7.1E-08</v>
      </c>
      <c r="I18" s="618" t="s">
        <v>435</v>
      </c>
    </row>
    <row r="19" spans="1:9" ht="12.75">
      <c r="A19" s="524">
        <v>17</v>
      </c>
      <c r="B19" s="517" t="s">
        <v>51</v>
      </c>
      <c r="C19" s="517">
        <v>8</v>
      </c>
      <c r="D19" s="517" t="s">
        <v>6</v>
      </c>
      <c r="E19" s="517">
        <v>780</v>
      </c>
      <c r="F19" s="517" t="s">
        <v>521</v>
      </c>
      <c r="G19" s="517" t="s">
        <v>10</v>
      </c>
      <c r="H19" s="518" t="s">
        <v>492</v>
      </c>
      <c r="I19" s="617" t="s">
        <v>463</v>
      </c>
    </row>
    <row r="20" spans="1:9" ht="12.75">
      <c r="A20" s="524">
        <v>18</v>
      </c>
      <c r="B20" s="517" t="s">
        <v>52</v>
      </c>
      <c r="C20" s="517">
        <v>8</v>
      </c>
      <c r="D20" s="517" t="s">
        <v>6</v>
      </c>
      <c r="E20" s="517">
        <v>0.66</v>
      </c>
      <c r="F20" s="517" t="s">
        <v>521</v>
      </c>
      <c r="G20" s="517" t="s">
        <v>11</v>
      </c>
      <c r="H20" s="518">
        <v>0.03</v>
      </c>
      <c r="I20" s="617" t="s">
        <v>463</v>
      </c>
    </row>
    <row r="21" spans="1:9" ht="12.75">
      <c r="A21" s="524">
        <v>19</v>
      </c>
      <c r="B21" s="517" t="s">
        <v>53</v>
      </c>
      <c r="C21" s="517">
        <v>8</v>
      </c>
      <c r="D21" s="517" t="s">
        <v>6</v>
      </c>
      <c r="E21" s="517">
        <v>71</v>
      </c>
      <c r="F21" s="517" t="s">
        <v>521</v>
      </c>
      <c r="G21" s="517" t="s">
        <v>12</v>
      </c>
      <c r="H21" s="518" t="s">
        <v>13</v>
      </c>
      <c r="I21" s="617" t="s">
        <v>463</v>
      </c>
    </row>
    <row r="22" spans="1:9" ht="12.75">
      <c r="A22" s="524">
        <v>20</v>
      </c>
      <c r="B22" s="517" t="s">
        <v>54</v>
      </c>
      <c r="C22" s="517">
        <v>8</v>
      </c>
      <c r="D22" s="517" t="s">
        <v>6</v>
      </c>
      <c r="E22" s="517">
        <v>360</v>
      </c>
      <c r="F22" s="517" t="s">
        <v>521</v>
      </c>
      <c r="G22" s="517">
        <v>1.2</v>
      </c>
      <c r="H22" s="518" t="s">
        <v>492</v>
      </c>
      <c r="I22" s="617" t="s">
        <v>463</v>
      </c>
    </row>
    <row r="23" spans="1:9" ht="12.75">
      <c r="A23" s="524">
        <v>21</v>
      </c>
      <c r="B23" s="517" t="s">
        <v>55</v>
      </c>
      <c r="C23" s="517">
        <v>8</v>
      </c>
      <c r="D23" s="517" t="s">
        <v>6</v>
      </c>
      <c r="E23" s="517">
        <v>4.4</v>
      </c>
      <c r="F23" s="517" t="s">
        <v>521</v>
      </c>
      <c r="G23" s="517" t="s">
        <v>12</v>
      </c>
      <c r="H23" s="518">
        <v>0.06</v>
      </c>
      <c r="I23" s="617" t="s">
        <v>463</v>
      </c>
    </row>
    <row r="24" spans="1:9" ht="12.75">
      <c r="A24" s="524">
        <v>22</v>
      </c>
      <c r="B24" s="517" t="s">
        <v>56</v>
      </c>
      <c r="C24" s="517">
        <v>8</v>
      </c>
      <c r="D24" s="517" t="s">
        <v>6</v>
      </c>
      <c r="E24" s="517">
        <v>21000</v>
      </c>
      <c r="F24" s="517" t="s">
        <v>521</v>
      </c>
      <c r="G24" s="517" t="s">
        <v>12</v>
      </c>
      <c r="H24" s="518" t="s">
        <v>492</v>
      </c>
      <c r="I24" s="617" t="s">
        <v>463</v>
      </c>
    </row>
    <row r="25" spans="1:9" ht="12.75">
      <c r="A25" s="524">
        <v>23</v>
      </c>
      <c r="B25" s="517" t="s">
        <v>199</v>
      </c>
      <c r="C25" s="517">
        <v>8</v>
      </c>
      <c r="D25" s="517" t="s">
        <v>6</v>
      </c>
      <c r="E25" s="517">
        <v>34</v>
      </c>
      <c r="F25" s="517" t="s">
        <v>521</v>
      </c>
      <c r="G25" s="517">
        <v>14</v>
      </c>
      <c r="H25" s="518" t="s">
        <v>13</v>
      </c>
      <c r="I25" s="617" t="s">
        <v>463</v>
      </c>
    </row>
    <row r="26" spans="1:9" ht="12.75">
      <c r="A26" s="524">
        <v>24</v>
      </c>
      <c r="B26" s="517" t="s">
        <v>57</v>
      </c>
      <c r="C26" s="517">
        <v>8</v>
      </c>
      <c r="D26" s="517" t="s">
        <v>6</v>
      </c>
      <c r="E26" s="517" t="s">
        <v>491</v>
      </c>
      <c r="F26" s="517"/>
      <c r="G26" s="517" t="s">
        <v>14</v>
      </c>
      <c r="H26" s="518" t="s">
        <v>492</v>
      </c>
      <c r="I26" s="617" t="s">
        <v>511</v>
      </c>
    </row>
    <row r="27" spans="1:9" ht="12.75">
      <c r="A27" s="524">
        <v>25</v>
      </c>
      <c r="B27" s="517" t="s">
        <v>200</v>
      </c>
      <c r="C27" s="517">
        <v>8</v>
      </c>
      <c r="D27" s="517" t="s">
        <v>6</v>
      </c>
      <c r="E27" s="517" t="s">
        <v>491</v>
      </c>
      <c r="F27" s="517"/>
      <c r="G27" s="517" t="s">
        <v>9</v>
      </c>
      <c r="H27" s="518" t="s">
        <v>492</v>
      </c>
      <c r="I27" s="617" t="s">
        <v>511</v>
      </c>
    </row>
    <row r="28" spans="1:9" ht="12.75">
      <c r="A28" s="524">
        <v>26</v>
      </c>
      <c r="B28" s="517" t="s">
        <v>58</v>
      </c>
      <c r="C28" s="517">
        <v>8</v>
      </c>
      <c r="D28" s="517" t="s">
        <v>6</v>
      </c>
      <c r="E28" s="517" t="s">
        <v>491</v>
      </c>
      <c r="F28" s="517"/>
      <c r="G28" s="517">
        <v>29</v>
      </c>
      <c r="H28" s="518" t="s">
        <v>492</v>
      </c>
      <c r="I28" s="617" t="s">
        <v>511</v>
      </c>
    </row>
    <row r="29" spans="1:9" ht="12.75">
      <c r="A29" s="524">
        <v>27</v>
      </c>
      <c r="B29" s="517" t="s">
        <v>59</v>
      </c>
      <c r="C29" s="517">
        <v>8</v>
      </c>
      <c r="D29" s="517" t="s">
        <v>6</v>
      </c>
      <c r="E29" s="517">
        <v>46</v>
      </c>
      <c r="F29" s="517" t="s">
        <v>521</v>
      </c>
      <c r="G29" s="517">
        <v>20</v>
      </c>
      <c r="H29" s="518" t="s">
        <v>13</v>
      </c>
      <c r="I29" s="617" t="s">
        <v>463</v>
      </c>
    </row>
    <row r="30" spans="1:9" ht="12.75">
      <c r="A30" s="524">
        <v>28</v>
      </c>
      <c r="B30" s="517" t="s">
        <v>60</v>
      </c>
      <c r="C30" s="517">
        <v>8</v>
      </c>
      <c r="D30" s="517" t="s">
        <v>6</v>
      </c>
      <c r="E30" s="517" t="s">
        <v>491</v>
      </c>
      <c r="F30" s="517"/>
      <c r="G30" s="517" t="s">
        <v>13</v>
      </c>
      <c r="H30" s="518" t="s">
        <v>13</v>
      </c>
      <c r="I30" s="617" t="s">
        <v>511</v>
      </c>
    </row>
    <row r="31" spans="1:9" ht="12.75">
      <c r="A31" s="524">
        <v>29</v>
      </c>
      <c r="B31" s="517" t="s">
        <v>61</v>
      </c>
      <c r="C31" s="517">
        <v>8</v>
      </c>
      <c r="D31" s="517" t="s">
        <v>6</v>
      </c>
      <c r="E31" s="517">
        <v>99</v>
      </c>
      <c r="F31" s="517" t="s">
        <v>521</v>
      </c>
      <c r="G31" s="517" t="s">
        <v>12</v>
      </c>
      <c r="H31" s="518">
        <v>0.04</v>
      </c>
      <c r="I31" s="617" t="s">
        <v>463</v>
      </c>
    </row>
    <row r="32" spans="1:9" ht="12.75">
      <c r="A32" s="524">
        <v>30</v>
      </c>
      <c r="B32" s="517" t="s">
        <v>62</v>
      </c>
      <c r="C32" s="517">
        <v>8</v>
      </c>
      <c r="D32" s="517" t="s">
        <v>6</v>
      </c>
      <c r="E32" s="517">
        <v>3.2</v>
      </c>
      <c r="F32" s="517" t="s">
        <v>521</v>
      </c>
      <c r="G32" s="517" t="s">
        <v>12</v>
      </c>
      <c r="H32" s="518" t="s">
        <v>492</v>
      </c>
      <c r="I32" s="617" t="s">
        <v>463</v>
      </c>
    </row>
    <row r="33" spans="1:9" ht="12.75">
      <c r="A33" s="524">
        <v>31</v>
      </c>
      <c r="B33" s="517" t="s">
        <v>63</v>
      </c>
      <c r="C33" s="517">
        <v>8</v>
      </c>
      <c r="D33" s="517" t="s">
        <v>6</v>
      </c>
      <c r="E33" s="517">
        <v>39</v>
      </c>
      <c r="F33" s="517" t="s">
        <v>521</v>
      </c>
      <c r="G33" s="517" t="s">
        <v>13</v>
      </c>
      <c r="H33" s="518" t="s">
        <v>13</v>
      </c>
      <c r="I33" s="617" t="s">
        <v>463</v>
      </c>
    </row>
    <row r="34" spans="1:9" ht="12.75">
      <c r="A34" s="524">
        <v>32</v>
      </c>
      <c r="B34" s="517" t="s">
        <v>64</v>
      </c>
      <c r="C34" s="517">
        <v>16</v>
      </c>
      <c r="D34" s="517" t="s">
        <v>6</v>
      </c>
      <c r="E34" s="517">
        <v>1700</v>
      </c>
      <c r="F34" s="517" t="s">
        <v>521</v>
      </c>
      <c r="G34" s="517" t="s">
        <v>12</v>
      </c>
      <c r="H34" s="518" t="s">
        <v>17</v>
      </c>
      <c r="I34" s="617" t="s">
        <v>463</v>
      </c>
    </row>
    <row r="35" spans="1:9" ht="12.75">
      <c r="A35" s="524">
        <v>33</v>
      </c>
      <c r="B35" s="517" t="s">
        <v>65</v>
      </c>
      <c r="C35" s="517">
        <v>8</v>
      </c>
      <c r="D35" s="517" t="s">
        <v>6</v>
      </c>
      <c r="E35" s="517">
        <v>29000</v>
      </c>
      <c r="F35" s="517" t="s">
        <v>521</v>
      </c>
      <c r="G35" s="517" t="s">
        <v>12</v>
      </c>
      <c r="H35" s="518" t="s">
        <v>492</v>
      </c>
      <c r="I35" s="617" t="s">
        <v>463</v>
      </c>
    </row>
    <row r="36" spans="1:9" ht="12.75">
      <c r="A36" s="524">
        <v>34</v>
      </c>
      <c r="B36" s="517" t="s">
        <v>66</v>
      </c>
      <c r="C36" s="517">
        <v>8</v>
      </c>
      <c r="D36" s="517" t="s">
        <v>6</v>
      </c>
      <c r="E36" s="517">
        <v>4000</v>
      </c>
      <c r="F36" s="517" t="s">
        <v>521</v>
      </c>
      <c r="G36" s="517">
        <v>3.4</v>
      </c>
      <c r="H36" s="518" t="s">
        <v>492</v>
      </c>
      <c r="I36" s="617" t="s">
        <v>463</v>
      </c>
    </row>
    <row r="37" spans="1:9" ht="12.75">
      <c r="A37" s="524">
        <v>35</v>
      </c>
      <c r="B37" s="517" t="s">
        <v>67</v>
      </c>
      <c r="C37" s="517">
        <v>8</v>
      </c>
      <c r="D37" s="517" t="s">
        <v>6</v>
      </c>
      <c r="E37" s="517" t="s">
        <v>491</v>
      </c>
      <c r="F37" s="517"/>
      <c r="G37" s="517" t="s">
        <v>25</v>
      </c>
      <c r="H37" s="518" t="s">
        <v>492</v>
      </c>
      <c r="I37" s="617" t="s">
        <v>511</v>
      </c>
    </row>
    <row r="38" spans="1:9" ht="12.75">
      <c r="A38" s="524">
        <v>36</v>
      </c>
      <c r="B38" s="517" t="s">
        <v>68</v>
      </c>
      <c r="C38" s="517">
        <v>8</v>
      </c>
      <c r="D38" s="517" t="s">
        <v>6</v>
      </c>
      <c r="E38" s="517">
        <v>1600</v>
      </c>
      <c r="F38" s="517" t="s">
        <v>521</v>
      </c>
      <c r="G38" s="517" t="s">
        <v>14</v>
      </c>
      <c r="H38" s="518">
        <v>0.5</v>
      </c>
      <c r="I38" s="617" t="s">
        <v>463</v>
      </c>
    </row>
    <row r="39" spans="1:9" ht="12.75">
      <c r="A39" s="524">
        <v>37</v>
      </c>
      <c r="B39" s="517" t="s">
        <v>69</v>
      </c>
      <c r="C39" s="517">
        <v>8</v>
      </c>
      <c r="D39" s="517" t="s">
        <v>6</v>
      </c>
      <c r="E39" s="517">
        <v>11</v>
      </c>
      <c r="F39" s="517" t="s">
        <v>521</v>
      </c>
      <c r="G39" s="517" t="s">
        <v>12</v>
      </c>
      <c r="H39" s="518" t="s">
        <v>13</v>
      </c>
      <c r="I39" s="617" t="s">
        <v>463</v>
      </c>
    </row>
    <row r="40" spans="1:9" ht="12.75">
      <c r="A40" s="524">
        <v>38</v>
      </c>
      <c r="B40" s="517" t="s">
        <v>70</v>
      </c>
      <c r="C40" s="517">
        <v>8</v>
      </c>
      <c r="D40" s="517" t="s">
        <v>6</v>
      </c>
      <c r="E40" s="517">
        <v>8.85</v>
      </c>
      <c r="F40" s="517" t="s">
        <v>521</v>
      </c>
      <c r="G40" s="517" t="s">
        <v>12</v>
      </c>
      <c r="H40" s="518" t="s">
        <v>13</v>
      </c>
      <c r="I40" s="617" t="s">
        <v>463</v>
      </c>
    </row>
    <row r="41" spans="1:9" ht="12.75">
      <c r="A41" s="524">
        <v>39</v>
      </c>
      <c r="B41" s="517" t="s">
        <v>71</v>
      </c>
      <c r="C41" s="517">
        <v>8</v>
      </c>
      <c r="D41" s="517" t="s">
        <v>6</v>
      </c>
      <c r="E41" s="517">
        <v>200000</v>
      </c>
      <c r="F41" s="517" t="s">
        <v>521</v>
      </c>
      <c r="G41" s="517">
        <v>0.5</v>
      </c>
      <c r="H41" s="518" t="s">
        <v>16</v>
      </c>
      <c r="I41" s="617" t="s">
        <v>463</v>
      </c>
    </row>
    <row r="42" spans="1:9" ht="12.75">
      <c r="A42" s="524">
        <v>40</v>
      </c>
      <c r="B42" s="517" t="s">
        <v>72</v>
      </c>
      <c r="C42" s="517">
        <v>8</v>
      </c>
      <c r="D42" s="517" t="s">
        <v>6</v>
      </c>
      <c r="E42" s="517">
        <v>140000</v>
      </c>
      <c r="F42" s="517" t="s">
        <v>521</v>
      </c>
      <c r="G42" s="517" t="s">
        <v>13</v>
      </c>
      <c r="H42" s="518" t="s">
        <v>492</v>
      </c>
      <c r="I42" s="617" t="s">
        <v>463</v>
      </c>
    </row>
    <row r="43" spans="1:9" ht="12.75">
      <c r="A43" s="524">
        <v>41</v>
      </c>
      <c r="B43" s="517" t="s">
        <v>73</v>
      </c>
      <c r="C43" s="517">
        <v>8</v>
      </c>
      <c r="D43" s="517" t="s">
        <v>6</v>
      </c>
      <c r="E43" s="517" t="s">
        <v>491</v>
      </c>
      <c r="F43" s="517"/>
      <c r="G43" s="517" t="s">
        <v>12</v>
      </c>
      <c r="H43" s="518" t="s">
        <v>492</v>
      </c>
      <c r="I43" s="617" t="s">
        <v>511</v>
      </c>
    </row>
    <row r="44" spans="1:9" ht="12.75">
      <c r="A44" s="524">
        <v>42</v>
      </c>
      <c r="B44" s="517" t="s">
        <v>74</v>
      </c>
      <c r="C44" s="517">
        <v>8</v>
      </c>
      <c r="D44" s="517" t="s">
        <v>6</v>
      </c>
      <c r="E44" s="517">
        <v>42</v>
      </c>
      <c r="F44" s="517" t="s">
        <v>521</v>
      </c>
      <c r="G44" s="517" t="s">
        <v>14</v>
      </c>
      <c r="H44" s="518" t="s">
        <v>13</v>
      </c>
      <c r="I44" s="617" t="s">
        <v>463</v>
      </c>
    </row>
    <row r="45" spans="1:9" ht="12.75">
      <c r="A45" s="524">
        <v>43</v>
      </c>
      <c r="B45" s="517" t="s">
        <v>75</v>
      </c>
      <c r="C45" s="517">
        <v>8</v>
      </c>
      <c r="D45" s="517" t="s">
        <v>6</v>
      </c>
      <c r="E45" s="517">
        <v>81</v>
      </c>
      <c r="F45" s="517" t="s">
        <v>521</v>
      </c>
      <c r="G45" s="517" t="s">
        <v>12</v>
      </c>
      <c r="H45" s="518" t="s">
        <v>492</v>
      </c>
      <c r="I45" s="617" t="s">
        <v>463</v>
      </c>
    </row>
    <row r="46" spans="1:9" ht="12.75">
      <c r="A46" s="524">
        <v>44</v>
      </c>
      <c r="B46" s="517" t="s">
        <v>76</v>
      </c>
      <c r="C46" s="517">
        <v>8</v>
      </c>
      <c r="D46" s="517" t="s">
        <v>6</v>
      </c>
      <c r="E46" s="517">
        <v>525</v>
      </c>
      <c r="F46" s="517" t="s">
        <v>521</v>
      </c>
      <c r="G46" s="517" t="s">
        <v>13</v>
      </c>
      <c r="H46" s="518" t="s">
        <v>492</v>
      </c>
      <c r="I46" s="617" t="s">
        <v>463</v>
      </c>
    </row>
    <row r="47" spans="1:9" ht="12.75">
      <c r="A47" s="524">
        <v>45</v>
      </c>
      <c r="B47" s="517" t="s">
        <v>201</v>
      </c>
      <c r="C47" s="517">
        <v>9</v>
      </c>
      <c r="D47" s="517" t="s">
        <v>7</v>
      </c>
      <c r="E47" s="517">
        <v>400</v>
      </c>
      <c r="F47" s="517" t="s">
        <v>521</v>
      </c>
      <c r="G47" s="517" t="s">
        <v>15</v>
      </c>
      <c r="H47" s="518" t="s">
        <v>493</v>
      </c>
      <c r="I47" s="617" t="s">
        <v>463</v>
      </c>
    </row>
    <row r="48" spans="1:9" ht="12.75">
      <c r="A48" s="524">
        <v>46</v>
      </c>
      <c r="B48" s="517" t="s">
        <v>77</v>
      </c>
      <c r="C48" s="517">
        <v>9</v>
      </c>
      <c r="D48" s="517" t="s">
        <v>7</v>
      </c>
      <c r="E48" s="517">
        <v>790</v>
      </c>
      <c r="F48" s="517" t="s">
        <v>521</v>
      </c>
      <c r="G48" s="517" t="s">
        <v>16</v>
      </c>
      <c r="H48" s="518" t="s">
        <v>494</v>
      </c>
      <c r="I48" s="617" t="s">
        <v>463</v>
      </c>
    </row>
    <row r="49" spans="1:9" ht="12.75">
      <c r="A49" s="524">
        <v>47</v>
      </c>
      <c r="B49" s="517" t="s">
        <v>78</v>
      </c>
      <c r="C49" s="517">
        <v>9</v>
      </c>
      <c r="D49" s="517" t="s">
        <v>7</v>
      </c>
      <c r="E49" s="517">
        <v>2300</v>
      </c>
      <c r="F49" s="517" t="s">
        <v>521</v>
      </c>
      <c r="G49" s="517" t="s">
        <v>16</v>
      </c>
      <c r="H49" s="518" t="s">
        <v>494</v>
      </c>
      <c r="I49" s="617" t="s">
        <v>463</v>
      </c>
    </row>
    <row r="50" spans="1:9" ht="12.75">
      <c r="A50" s="524">
        <v>48</v>
      </c>
      <c r="B50" s="517" t="s">
        <v>202</v>
      </c>
      <c r="C50" s="517">
        <v>9</v>
      </c>
      <c r="D50" s="517" t="s">
        <v>7</v>
      </c>
      <c r="E50" s="517">
        <v>765</v>
      </c>
      <c r="F50" s="517" t="s">
        <v>521</v>
      </c>
      <c r="G50" s="517" t="s">
        <v>15</v>
      </c>
      <c r="H50" s="518" t="s">
        <v>493</v>
      </c>
      <c r="I50" s="617" t="s">
        <v>463</v>
      </c>
    </row>
    <row r="51" spans="1:9" ht="12.75">
      <c r="A51" s="524">
        <v>49</v>
      </c>
      <c r="B51" s="517" t="s">
        <v>79</v>
      </c>
      <c r="C51" s="517">
        <v>9</v>
      </c>
      <c r="D51" s="517" t="s">
        <v>7</v>
      </c>
      <c r="E51" s="517">
        <v>14000</v>
      </c>
      <c r="F51" s="517" t="s">
        <v>521</v>
      </c>
      <c r="G51" s="517" t="s">
        <v>16</v>
      </c>
      <c r="H51" s="518" t="s">
        <v>495</v>
      </c>
      <c r="I51" s="617" t="s">
        <v>463</v>
      </c>
    </row>
    <row r="52" spans="1:9" ht="12.75">
      <c r="A52" s="524">
        <v>50</v>
      </c>
      <c r="B52" s="517" t="s">
        <v>80</v>
      </c>
      <c r="C52" s="517">
        <v>9</v>
      </c>
      <c r="D52" s="517" t="s">
        <v>7</v>
      </c>
      <c r="E52" s="517" t="s">
        <v>491</v>
      </c>
      <c r="F52" s="517"/>
      <c r="G52" s="517" t="s">
        <v>16</v>
      </c>
      <c r="H52" s="518" t="s">
        <v>494</v>
      </c>
      <c r="I52" s="617" t="s">
        <v>511</v>
      </c>
    </row>
    <row r="53" spans="1:9" ht="12.75">
      <c r="A53" s="524">
        <v>51</v>
      </c>
      <c r="B53" s="517" t="s">
        <v>81</v>
      </c>
      <c r="C53" s="517">
        <v>9</v>
      </c>
      <c r="D53" s="517" t="s">
        <v>7</v>
      </c>
      <c r="E53" s="517" t="s">
        <v>491</v>
      </c>
      <c r="F53" s="517"/>
      <c r="G53" s="517" t="s">
        <v>17</v>
      </c>
      <c r="H53" s="518" t="s">
        <v>496</v>
      </c>
      <c r="I53" s="617" t="s">
        <v>511</v>
      </c>
    </row>
    <row r="54" spans="1:9" ht="12.75">
      <c r="A54" s="524">
        <v>52</v>
      </c>
      <c r="B54" s="517" t="s">
        <v>203</v>
      </c>
      <c r="C54" s="517">
        <v>9</v>
      </c>
      <c r="D54" s="517" t="s">
        <v>7</v>
      </c>
      <c r="E54" s="517" t="s">
        <v>491</v>
      </c>
      <c r="F54" s="517"/>
      <c r="G54" s="517" t="s">
        <v>16</v>
      </c>
      <c r="H54" s="518" t="s">
        <v>497</v>
      </c>
      <c r="I54" s="617" t="s">
        <v>511</v>
      </c>
    </row>
    <row r="55" spans="1:9" ht="12.75">
      <c r="A55" s="524">
        <v>53</v>
      </c>
      <c r="B55" s="517" t="s">
        <v>82</v>
      </c>
      <c r="C55" s="517">
        <v>9</v>
      </c>
      <c r="D55" s="517" t="s">
        <v>7</v>
      </c>
      <c r="E55" s="517">
        <v>7.9</v>
      </c>
      <c r="F55" s="517" t="s">
        <v>525</v>
      </c>
      <c r="G55" s="517" t="s">
        <v>15</v>
      </c>
      <c r="H55" s="518" t="s">
        <v>498</v>
      </c>
      <c r="I55" s="617" t="s">
        <v>463</v>
      </c>
    </row>
    <row r="56" spans="1:9" ht="12.75">
      <c r="A56" s="524">
        <v>54</v>
      </c>
      <c r="B56" s="517" t="s">
        <v>83</v>
      </c>
      <c r="C56" s="517">
        <v>9</v>
      </c>
      <c r="D56" s="517" t="s">
        <v>7</v>
      </c>
      <c r="E56" s="517">
        <v>4600000</v>
      </c>
      <c r="F56" s="517" t="s">
        <v>521</v>
      </c>
      <c r="G56" s="517" t="s">
        <v>17</v>
      </c>
      <c r="H56" s="518" t="s">
        <v>494</v>
      </c>
      <c r="I56" s="617" t="s">
        <v>463</v>
      </c>
    </row>
    <row r="57" spans="1:9" ht="12.75">
      <c r="A57" s="524">
        <v>55</v>
      </c>
      <c r="B57" s="517" t="s">
        <v>84</v>
      </c>
      <c r="C57" s="517">
        <v>9</v>
      </c>
      <c r="D57" s="517" t="s">
        <v>7</v>
      </c>
      <c r="E57" s="517">
        <v>6.5</v>
      </c>
      <c r="F57" s="517" t="s">
        <v>521</v>
      </c>
      <c r="G57" s="517" t="s">
        <v>17</v>
      </c>
      <c r="H57" s="518" t="s">
        <v>494</v>
      </c>
      <c r="I57" s="617" t="s">
        <v>463</v>
      </c>
    </row>
    <row r="58" spans="1:9" ht="12.75">
      <c r="A58" s="524">
        <v>56</v>
      </c>
      <c r="B58" s="517" t="s">
        <v>85</v>
      </c>
      <c r="C58" s="517">
        <v>8</v>
      </c>
      <c r="D58" s="517" t="s">
        <v>8</v>
      </c>
      <c r="E58" s="517">
        <v>2700</v>
      </c>
      <c r="F58" s="517" t="s">
        <v>521</v>
      </c>
      <c r="G58" s="517" t="s">
        <v>18</v>
      </c>
      <c r="H58" s="518">
        <v>0.0015</v>
      </c>
      <c r="I58" s="617" t="s">
        <v>463</v>
      </c>
    </row>
    <row r="59" spans="1:9" ht="12.75">
      <c r="A59" s="524">
        <v>57</v>
      </c>
      <c r="B59" s="517" t="s">
        <v>204</v>
      </c>
      <c r="C59" s="517">
        <v>8</v>
      </c>
      <c r="D59" s="517" t="s">
        <v>8</v>
      </c>
      <c r="E59" s="517" t="s">
        <v>491</v>
      </c>
      <c r="F59" s="517"/>
      <c r="G59" s="517" t="s">
        <v>19</v>
      </c>
      <c r="H59" s="518">
        <v>0.00053</v>
      </c>
      <c r="I59" s="617" t="s">
        <v>511</v>
      </c>
    </row>
    <row r="60" spans="1:9" ht="12.75">
      <c r="A60" s="524">
        <v>58</v>
      </c>
      <c r="B60" s="517" t="s">
        <v>86</v>
      </c>
      <c r="C60" s="517">
        <v>8</v>
      </c>
      <c r="D60" s="517" t="s">
        <v>8</v>
      </c>
      <c r="E60" s="517">
        <v>110000</v>
      </c>
      <c r="F60" s="517" t="s">
        <v>521</v>
      </c>
      <c r="G60" s="517" t="s">
        <v>18</v>
      </c>
      <c r="H60" s="518">
        <v>0.0005</v>
      </c>
      <c r="I60" s="617" t="s">
        <v>463</v>
      </c>
    </row>
    <row r="61" spans="1:9" ht="12.75">
      <c r="A61" s="524">
        <v>59</v>
      </c>
      <c r="B61" s="517" t="s">
        <v>87</v>
      </c>
      <c r="C61" s="517">
        <v>9</v>
      </c>
      <c r="D61" s="517" t="s">
        <v>7</v>
      </c>
      <c r="E61" s="517">
        <v>0.00054</v>
      </c>
      <c r="F61" s="517" t="s">
        <v>521</v>
      </c>
      <c r="G61" s="517" t="s">
        <v>16</v>
      </c>
      <c r="H61" s="518" t="s">
        <v>499</v>
      </c>
      <c r="I61" s="617" t="s">
        <v>512</v>
      </c>
    </row>
    <row r="62" spans="1:9" ht="12.75">
      <c r="A62" s="524">
        <v>60</v>
      </c>
      <c r="B62" s="517" t="s">
        <v>88</v>
      </c>
      <c r="C62" s="517">
        <v>8</v>
      </c>
      <c r="D62" s="517" t="s">
        <v>8</v>
      </c>
      <c r="E62" s="517">
        <v>0.049</v>
      </c>
      <c r="F62" s="517" t="s">
        <v>521</v>
      </c>
      <c r="G62" s="517" t="s">
        <v>19</v>
      </c>
      <c r="H62" s="518">
        <v>0.0053</v>
      </c>
      <c r="I62" s="617" t="s">
        <v>463</v>
      </c>
    </row>
    <row r="63" spans="1:9" ht="12.75">
      <c r="A63" s="524">
        <v>61</v>
      </c>
      <c r="B63" s="517" t="s">
        <v>89</v>
      </c>
      <c r="C63" s="517">
        <v>8</v>
      </c>
      <c r="D63" s="517" t="s">
        <v>8</v>
      </c>
      <c r="E63" s="517">
        <v>0.049</v>
      </c>
      <c r="F63" s="517" t="s">
        <v>521</v>
      </c>
      <c r="G63" s="517" t="s">
        <v>19</v>
      </c>
      <c r="H63" s="518">
        <v>0.00029</v>
      </c>
      <c r="I63" s="617" t="s">
        <v>463</v>
      </c>
    </row>
    <row r="64" spans="1:9" ht="12.75">
      <c r="A64" s="524">
        <v>62</v>
      </c>
      <c r="B64" s="517" t="s">
        <v>90</v>
      </c>
      <c r="C64" s="517">
        <v>8</v>
      </c>
      <c r="D64" s="517" t="s">
        <v>8</v>
      </c>
      <c r="E64" s="517">
        <v>0.049</v>
      </c>
      <c r="F64" s="517" t="s">
        <v>521</v>
      </c>
      <c r="G64" s="517" t="s">
        <v>18</v>
      </c>
      <c r="H64" s="518">
        <v>0.0046</v>
      </c>
      <c r="I64" s="617" t="s">
        <v>463</v>
      </c>
    </row>
    <row r="65" spans="1:9" ht="12.75">
      <c r="A65" s="524">
        <v>63</v>
      </c>
      <c r="B65" s="517" t="s">
        <v>91</v>
      </c>
      <c r="C65" s="517">
        <v>8</v>
      </c>
      <c r="D65" s="517" t="s">
        <v>8</v>
      </c>
      <c r="E65" s="517" t="s">
        <v>491</v>
      </c>
      <c r="F65" s="517"/>
      <c r="G65" s="517" t="s">
        <v>18</v>
      </c>
      <c r="H65" s="518">
        <v>0.0027</v>
      </c>
      <c r="I65" s="617" t="s">
        <v>511</v>
      </c>
    </row>
    <row r="66" spans="1:9" ht="12.75">
      <c r="A66" s="524">
        <v>64</v>
      </c>
      <c r="B66" s="517" t="s">
        <v>92</v>
      </c>
      <c r="C66" s="517">
        <v>8</v>
      </c>
      <c r="D66" s="517" t="s">
        <v>8</v>
      </c>
      <c r="E66" s="517">
        <v>0.049</v>
      </c>
      <c r="F66" s="517" t="s">
        <v>521</v>
      </c>
      <c r="G66" s="517" t="s">
        <v>20</v>
      </c>
      <c r="H66" s="518">
        <v>0.0015</v>
      </c>
      <c r="I66" s="617" t="s">
        <v>463</v>
      </c>
    </row>
    <row r="67" spans="1:9" ht="12.75">
      <c r="A67" s="524">
        <v>65</v>
      </c>
      <c r="B67" s="517" t="s">
        <v>93</v>
      </c>
      <c r="C67" s="517">
        <v>9</v>
      </c>
      <c r="D67" s="517" t="s">
        <v>7</v>
      </c>
      <c r="E67" s="517" t="s">
        <v>491</v>
      </c>
      <c r="F67" s="517"/>
      <c r="G67" s="517" t="s">
        <v>16</v>
      </c>
      <c r="H67" s="518" t="s">
        <v>16</v>
      </c>
      <c r="I67" s="617" t="s">
        <v>511</v>
      </c>
    </row>
    <row r="68" spans="1:9" ht="12.75">
      <c r="A68" s="524">
        <v>66</v>
      </c>
      <c r="B68" s="517" t="s">
        <v>94</v>
      </c>
      <c r="C68" s="517">
        <v>9</v>
      </c>
      <c r="D68" s="517" t="s">
        <v>7</v>
      </c>
      <c r="E68" s="517">
        <v>1.4</v>
      </c>
      <c r="F68" s="517" t="s">
        <v>521</v>
      </c>
      <c r="G68" s="517" t="s">
        <v>16</v>
      </c>
      <c r="H68" s="518" t="s">
        <v>16</v>
      </c>
      <c r="I68" s="617" t="s">
        <v>463</v>
      </c>
    </row>
    <row r="69" spans="1:9" ht="12.75">
      <c r="A69" s="524">
        <v>67</v>
      </c>
      <c r="B69" s="517" t="s">
        <v>95</v>
      </c>
      <c r="C69" s="517">
        <v>9</v>
      </c>
      <c r="D69" s="517" t="s">
        <v>7</v>
      </c>
      <c r="E69" s="517">
        <v>170000</v>
      </c>
      <c r="F69" s="517" t="s">
        <v>521</v>
      </c>
      <c r="G69" s="517" t="s">
        <v>21</v>
      </c>
      <c r="H69" s="518" t="s">
        <v>21</v>
      </c>
      <c r="I69" s="617" t="s">
        <v>463</v>
      </c>
    </row>
    <row r="70" spans="1:9" ht="12.75">
      <c r="A70" s="524">
        <v>68</v>
      </c>
      <c r="B70" s="517" t="s">
        <v>96</v>
      </c>
      <c r="C70" s="517">
        <v>9</v>
      </c>
      <c r="D70" s="517" t="s">
        <v>7</v>
      </c>
      <c r="E70" s="517">
        <v>5.9</v>
      </c>
      <c r="F70" s="517" t="s">
        <v>521</v>
      </c>
      <c r="G70" s="517">
        <v>2</v>
      </c>
      <c r="H70" s="518" t="s">
        <v>492</v>
      </c>
      <c r="I70" s="617" t="s">
        <v>463</v>
      </c>
    </row>
    <row r="71" spans="1:9" ht="12.75">
      <c r="A71" s="524">
        <v>69</v>
      </c>
      <c r="B71" s="517" t="s">
        <v>97</v>
      </c>
      <c r="C71" s="517">
        <v>9</v>
      </c>
      <c r="D71" s="517" t="s">
        <v>7</v>
      </c>
      <c r="E71" s="517" t="s">
        <v>491</v>
      </c>
      <c r="F71" s="517"/>
      <c r="G71" s="517" t="s">
        <v>15</v>
      </c>
      <c r="H71" s="518" t="s">
        <v>500</v>
      </c>
      <c r="I71" s="617" t="s">
        <v>511</v>
      </c>
    </row>
    <row r="72" spans="1:9" ht="12.75">
      <c r="A72" s="524">
        <v>70</v>
      </c>
      <c r="B72" s="517" t="s">
        <v>98</v>
      </c>
      <c r="C72" s="517">
        <v>9</v>
      </c>
      <c r="D72" s="517" t="s">
        <v>7</v>
      </c>
      <c r="E72" s="517">
        <v>5200</v>
      </c>
      <c r="F72" s="517" t="s">
        <v>521</v>
      </c>
      <c r="G72" s="517" t="s">
        <v>15</v>
      </c>
      <c r="H72" s="518" t="s">
        <v>501</v>
      </c>
      <c r="I72" s="617" t="s">
        <v>463</v>
      </c>
    </row>
    <row r="73" spans="1:9" ht="12.75">
      <c r="A73" s="524">
        <v>71</v>
      </c>
      <c r="B73" s="517" t="s">
        <v>99</v>
      </c>
      <c r="C73" s="517">
        <v>9</v>
      </c>
      <c r="D73" s="517" t="s">
        <v>7</v>
      </c>
      <c r="E73" s="517">
        <v>4300</v>
      </c>
      <c r="F73" s="517" t="s">
        <v>521</v>
      </c>
      <c r="G73" s="517" t="s">
        <v>16</v>
      </c>
      <c r="H73" s="518" t="s">
        <v>16</v>
      </c>
      <c r="I73" s="617" t="s">
        <v>463</v>
      </c>
    </row>
    <row r="74" spans="1:9" ht="12.75">
      <c r="A74" s="524">
        <v>72</v>
      </c>
      <c r="B74" s="517" t="s">
        <v>100</v>
      </c>
      <c r="C74" s="517">
        <v>9</v>
      </c>
      <c r="D74" s="517" t="s">
        <v>7</v>
      </c>
      <c r="E74" s="517" t="s">
        <v>491</v>
      </c>
      <c r="F74" s="517"/>
      <c r="G74" s="517" t="s">
        <v>15</v>
      </c>
      <c r="H74" s="518" t="s">
        <v>16</v>
      </c>
      <c r="I74" s="617" t="s">
        <v>511</v>
      </c>
    </row>
    <row r="75" spans="1:9" ht="12.75">
      <c r="A75" s="524">
        <v>73</v>
      </c>
      <c r="B75" s="517" t="s">
        <v>101</v>
      </c>
      <c r="C75" s="517">
        <v>8</v>
      </c>
      <c r="D75" s="517" t="s">
        <v>8</v>
      </c>
      <c r="E75" s="517">
        <v>0.049</v>
      </c>
      <c r="F75" s="517" t="s">
        <v>521</v>
      </c>
      <c r="G75" s="517" t="s">
        <v>20</v>
      </c>
      <c r="H75" s="518">
        <v>0.0024</v>
      </c>
      <c r="I75" s="617" t="s">
        <v>463</v>
      </c>
    </row>
    <row r="76" spans="1:9" ht="12.75">
      <c r="A76" s="524">
        <v>74</v>
      </c>
      <c r="B76" s="517" t="s">
        <v>102</v>
      </c>
      <c r="C76" s="517">
        <v>8</v>
      </c>
      <c r="D76" s="517" t="s">
        <v>8</v>
      </c>
      <c r="E76" s="517">
        <v>0.049</v>
      </c>
      <c r="F76" s="517" t="s">
        <v>521</v>
      </c>
      <c r="G76" s="517" t="s">
        <v>18</v>
      </c>
      <c r="H76" s="518">
        <v>0.00064</v>
      </c>
      <c r="I76" s="617" t="s">
        <v>463</v>
      </c>
    </row>
    <row r="77" spans="1:9" ht="12.75">
      <c r="A77" s="524">
        <v>75</v>
      </c>
      <c r="B77" s="517" t="s">
        <v>103</v>
      </c>
      <c r="C77" s="517">
        <v>10</v>
      </c>
      <c r="D77" s="517" t="s">
        <v>7</v>
      </c>
      <c r="E77" s="517">
        <v>17000</v>
      </c>
      <c r="F77" s="517" t="s">
        <v>521</v>
      </c>
      <c r="G77" s="517" t="s">
        <v>13</v>
      </c>
      <c r="H77" s="518" t="s">
        <v>16</v>
      </c>
      <c r="I77" s="617" t="s">
        <v>463</v>
      </c>
    </row>
    <row r="78" spans="1:9" ht="12.75">
      <c r="A78" s="524">
        <v>76</v>
      </c>
      <c r="B78" s="517" t="s">
        <v>104</v>
      </c>
      <c r="C78" s="517">
        <v>10</v>
      </c>
      <c r="D78" s="517" t="s">
        <v>7</v>
      </c>
      <c r="E78" s="517">
        <v>2600</v>
      </c>
      <c r="F78" s="517" t="s">
        <v>521</v>
      </c>
      <c r="G78" s="517" t="s">
        <v>14</v>
      </c>
      <c r="H78" s="518" t="s">
        <v>16</v>
      </c>
      <c r="I78" s="617" t="s">
        <v>463</v>
      </c>
    </row>
    <row r="79" spans="1:9" ht="12.75">
      <c r="A79" s="524">
        <v>77</v>
      </c>
      <c r="B79" s="517" t="s">
        <v>105</v>
      </c>
      <c r="C79" s="517">
        <v>10</v>
      </c>
      <c r="D79" s="517" t="s">
        <v>7</v>
      </c>
      <c r="E79" s="517">
        <v>2600</v>
      </c>
      <c r="F79" s="517" t="s">
        <v>521</v>
      </c>
      <c r="G79" s="517">
        <v>1.5</v>
      </c>
      <c r="H79" s="518" t="s">
        <v>16</v>
      </c>
      <c r="I79" s="617" t="s">
        <v>463</v>
      </c>
    </row>
    <row r="80" spans="1:9" ht="12.75">
      <c r="A80" s="524">
        <v>78</v>
      </c>
      <c r="B80" s="517" t="s">
        <v>205</v>
      </c>
      <c r="C80" s="517">
        <v>9</v>
      </c>
      <c r="D80" s="517" t="s">
        <v>7</v>
      </c>
      <c r="E80" s="517">
        <v>0.077</v>
      </c>
      <c r="F80" s="517" t="s">
        <v>521</v>
      </c>
      <c r="G80" s="517" t="s">
        <v>16</v>
      </c>
      <c r="H80" s="518" t="s">
        <v>24</v>
      </c>
      <c r="I80" s="617" t="s">
        <v>512</v>
      </c>
    </row>
    <row r="81" spans="1:9" ht="12.75">
      <c r="A81" s="524">
        <v>79</v>
      </c>
      <c r="B81" s="517" t="s">
        <v>106</v>
      </c>
      <c r="C81" s="517">
        <v>9</v>
      </c>
      <c r="D81" s="517" t="s">
        <v>7</v>
      </c>
      <c r="E81" s="517">
        <v>120000</v>
      </c>
      <c r="F81" s="517" t="s">
        <v>521</v>
      </c>
      <c r="G81" s="517" t="s">
        <v>15</v>
      </c>
      <c r="H81" s="518" t="s">
        <v>502</v>
      </c>
      <c r="I81" s="617" t="s">
        <v>463</v>
      </c>
    </row>
    <row r="82" spans="1:9" ht="12.75">
      <c r="A82" s="524">
        <v>80</v>
      </c>
      <c r="B82" s="517" t="s">
        <v>107</v>
      </c>
      <c r="C82" s="517">
        <v>9</v>
      </c>
      <c r="D82" s="517" t="s">
        <v>7</v>
      </c>
      <c r="E82" s="517">
        <v>2900000</v>
      </c>
      <c r="F82" s="517" t="s">
        <v>521</v>
      </c>
      <c r="G82" s="517" t="s">
        <v>15</v>
      </c>
      <c r="H82" s="518" t="s">
        <v>502</v>
      </c>
      <c r="I82" s="617" t="s">
        <v>463</v>
      </c>
    </row>
    <row r="83" spans="1:9" ht="12.75">
      <c r="A83" s="524">
        <v>81</v>
      </c>
      <c r="B83" s="517" t="s">
        <v>108</v>
      </c>
      <c r="C83" s="517">
        <v>9</v>
      </c>
      <c r="D83" s="517" t="s">
        <v>7</v>
      </c>
      <c r="E83" s="517">
        <v>12000</v>
      </c>
      <c r="F83" s="517" t="s">
        <v>521</v>
      </c>
      <c r="G83" s="517" t="s">
        <v>15</v>
      </c>
      <c r="H83" s="518" t="s">
        <v>492</v>
      </c>
      <c r="I83" s="617" t="s">
        <v>463</v>
      </c>
    </row>
    <row r="84" spans="1:9" ht="12.75">
      <c r="A84" s="524">
        <v>82</v>
      </c>
      <c r="B84" s="517" t="s">
        <v>109</v>
      </c>
      <c r="C84" s="517">
        <v>9</v>
      </c>
      <c r="D84" s="517" t="s">
        <v>7</v>
      </c>
      <c r="E84" s="517">
        <v>9.1</v>
      </c>
      <c r="F84" s="517" t="s">
        <v>521</v>
      </c>
      <c r="G84" s="517" t="s">
        <v>16</v>
      </c>
      <c r="H84" s="518" t="s">
        <v>503</v>
      </c>
      <c r="I84" s="617" t="s">
        <v>463</v>
      </c>
    </row>
    <row r="85" spans="1:9" ht="12.75">
      <c r="A85" s="524">
        <v>83</v>
      </c>
      <c r="B85" s="517" t="s">
        <v>110</v>
      </c>
      <c r="C85" s="517">
        <v>9</v>
      </c>
      <c r="D85" s="517" t="s">
        <v>7</v>
      </c>
      <c r="E85" s="517" t="s">
        <v>491</v>
      </c>
      <c r="F85" s="517"/>
      <c r="G85" s="517" t="s">
        <v>16</v>
      </c>
      <c r="H85" s="518" t="s">
        <v>504</v>
      </c>
      <c r="I85" s="617" t="s">
        <v>511</v>
      </c>
    </row>
    <row r="86" spans="1:9" ht="12.75">
      <c r="A86" s="524">
        <v>84</v>
      </c>
      <c r="B86" s="517" t="s">
        <v>111</v>
      </c>
      <c r="C86" s="517">
        <v>9</v>
      </c>
      <c r="D86" s="517" t="s">
        <v>7</v>
      </c>
      <c r="E86" s="517" t="s">
        <v>491</v>
      </c>
      <c r="F86" s="517"/>
      <c r="G86" s="517" t="s">
        <v>15</v>
      </c>
      <c r="H86" s="518" t="s">
        <v>505</v>
      </c>
      <c r="I86" s="617" t="s">
        <v>511</v>
      </c>
    </row>
    <row r="87" spans="1:9" ht="12.75">
      <c r="A87" s="524">
        <v>85</v>
      </c>
      <c r="B87" s="517" t="s">
        <v>112</v>
      </c>
      <c r="C87" s="517">
        <v>9</v>
      </c>
      <c r="D87" s="517" t="s">
        <v>7</v>
      </c>
      <c r="E87" s="517">
        <v>0.54</v>
      </c>
      <c r="F87" s="517" t="s">
        <v>521</v>
      </c>
      <c r="G87" s="517" t="s">
        <v>16</v>
      </c>
      <c r="H87" s="518">
        <v>0.0037</v>
      </c>
      <c r="I87" s="617" t="s">
        <v>463</v>
      </c>
    </row>
    <row r="88" spans="1:9" ht="12.75">
      <c r="A88" s="524">
        <v>86</v>
      </c>
      <c r="B88" s="517" t="s">
        <v>113</v>
      </c>
      <c r="C88" s="517">
        <v>8</v>
      </c>
      <c r="D88" s="517" t="s">
        <v>8</v>
      </c>
      <c r="E88" s="517">
        <v>370</v>
      </c>
      <c r="F88" s="517" t="s">
        <v>521</v>
      </c>
      <c r="G88" s="517" t="s">
        <v>18</v>
      </c>
      <c r="H88" s="518">
        <v>0.011</v>
      </c>
      <c r="I88" s="617" t="s">
        <v>463</v>
      </c>
    </row>
    <row r="89" spans="1:9" ht="12.75">
      <c r="A89" s="524">
        <v>87</v>
      </c>
      <c r="B89" s="517" t="s">
        <v>114</v>
      </c>
      <c r="C89" s="517">
        <v>8</v>
      </c>
      <c r="D89" s="517" t="s">
        <v>8</v>
      </c>
      <c r="E89" s="517">
        <v>14000</v>
      </c>
      <c r="F89" s="517" t="s">
        <v>521</v>
      </c>
      <c r="G89" s="517" t="s">
        <v>22</v>
      </c>
      <c r="H89" s="518">
        <v>0.0020800000000000003</v>
      </c>
      <c r="I89" s="617" t="s">
        <v>463</v>
      </c>
    </row>
    <row r="90" spans="1:9" ht="12.75">
      <c r="A90" s="524">
        <v>88</v>
      </c>
      <c r="B90" s="517" t="s">
        <v>115</v>
      </c>
      <c r="C90" s="517">
        <v>9</v>
      </c>
      <c r="D90" s="517" t="s">
        <v>7</v>
      </c>
      <c r="E90" s="517">
        <v>0.00077</v>
      </c>
      <c r="F90" s="517" t="s">
        <v>521</v>
      </c>
      <c r="G90" s="517" t="s">
        <v>15</v>
      </c>
      <c r="H90" s="518">
        <v>2.02E-05</v>
      </c>
      <c r="I90" s="617" t="s">
        <v>512</v>
      </c>
    </row>
    <row r="91" spans="1:9" ht="12.75">
      <c r="A91" s="524">
        <v>89</v>
      </c>
      <c r="B91" s="517" t="s">
        <v>116</v>
      </c>
      <c r="C91" s="517">
        <v>9</v>
      </c>
      <c r="D91" s="517" t="s">
        <v>7</v>
      </c>
      <c r="E91" s="517">
        <v>50</v>
      </c>
      <c r="F91" s="517" t="s">
        <v>521</v>
      </c>
      <c r="G91" s="517" t="s">
        <v>17</v>
      </c>
      <c r="H91" s="518" t="s">
        <v>16</v>
      </c>
      <c r="I91" s="617" t="s">
        <v>463</v>
      </c>
    </row>
    <row r="92" spans="1:9" ht="12.75">
      <c r="A92" s="524">
        <v>90</v>
      </c>
      <c r="B92" s="517" t="s">
        <v>117</v>
      </c>
      <c r="C92" s="517">
        <v>9</v>
      </c>
      <c r="D92" s="517" t="s">
        <v>7</v>
      </c>
      <c r="E92" s="517">
        <v>17000</v>
      </c>
      <c r="F92" s="517" t="s">
        <v>521</v>
      </c>
      <c r="G92" s="517" t="s">
        <v>9</v>
      </c>
      <c r="H92" s="518" t="s">
        <v>506</v>
      </c>
      <c r="I92" s="617" t="s">
        <v>463</v>
      </c>
    </row>
    <row r="93" spans="1:9" ht="12.75">
      <c r="A93" s="524">
        <v>91</v>
      </c>
      <c r="B93" s="517" t="s">
        <v>118</v>
      </c>
      <c r="C93" s="517">
        <v>9</v>
      </c>
      <c r="D93" s="517" t="s">
        <v>7</v>
      </c>
      <c r="E93" s="517">
        <v>8.9</v>
      </c>
      <c r="F93" s="517" t="s">
        <v>521</v>
      </c>
      <c r="G93" s="517" t="s">
        <v>17</v>
      </c>
      <c r="H93" s="518" t="s">
        <v>17</v>
      </c>
      <c r="I93" s="617" t="s">
        <v>463</v>
      </c>
    </row>
    <row r="94" spans="1:9" ht="12.75">
      <c r="A94" s="524">
        <v>92</v>
      </c>
      <c r="B94" s="517" t="s">
        <v>206</v>
      </c>
      <c r="C94" s="517">
        <v>8</v>
      </c>
      <c r="D94" s="517" t="s">
        <v>8</v>
      </c>
      <c r="E94" s="517">
        <v>0.049</v>
      </c>
      <c r="F94" s="517" t="s">
        <v>521</v>
      </c>
      <c r="G94" s="517" t="s">
        <v>18</v>
      </c>
      <c r="H94" s="518">
        <v>0.004</v>
      </c>
      <c r="I94" s="617" t="s">
        <v>463</v>
      </c>
    </row>
    <row r="95" spans="1:9" ht="12.75">
      <c r="A95" s="524">
        <v>93</v>
      </c>
      <c r="B95" s="517" t="s">
        <v>119</v>
      </c>
      <c r="C95" s="517">
        <v>9</v>
      </c>
      <c r="D95" s="517" t="s">
        <v>7</v>
      </c>
      <c r="E95" s="517">
        <v>600</v>
      </c>
      <c r="F95" s="517" t="s">
        <v>521</v>
      </c>
      <c r="G95" s="517" t="s">
        <v>16</v>
      </c>
      <c r="H95" s="518" t="s">
        <v>16</v>
      </c>
      <c r="I95" s="617" t="s">
        <v>463</v>
      </c>
    </row>
    <row r="96" spans="1:9" ht="12.75">
      <c r="A96" s="524">
        <v>94</v>
      </c>
      <c r="B96" s="517" t="s">
        <v>207</v>
      </c>
      <c r="C96" s="517">
        <v>8</v>
      </c>
      <c r="D96" s="517" t="s">
        <v>8</v>
      </c>
      <c r="E96" s="517" t="s">
        <v>491</v>
      </c>
      <c r="F96" s="517"/>
      <c r="G96" s="517" t="s">
        <v>19</v>
      </c>
      <c r="H96" s="518">
        <v>0.0023</v>
      </c>
      <c r="I96" s="617" t="s">
        <v>511</v>
      </c>
    </row>
    <row r="97" spans="1:10" ht="12.75">
      <c r="A97" s="524">
        <v>95</v>
      </c>
      <c r="B97" s="517" t="s">
        <v>121</v>
      </c>
      <c r="C97" s="517">
        <v>9</v>
      </c>
      <c r="D97" s="517" t="s">
        <v>7</v>
      </c>
      <c r="E97" s="517">
        <v>1900</v>
      </c>
      <c r="F97" s="517" t="s">
        <v>521</v>
      </c>
      <c r="G97" s="517" t="s">
        <v>16</v>
      </c>
      <c r="H97" s="518" t="s">
        <v>507</v>
      </c>
      <c r="I97" s="617" t="s">
        <v>463</v>
      </c>
      <c r="J97" s="299"/>
    </row>
    <row r="98" spans="1:9" ht="12.75">
      <c r="A98" s="524">
        <v>96</v>
      </c>
      <c r="B98" s="517" t="s">
        <v>122</v>
      </c>
      <c r="C98" s="517">
        <v>9</v>
      </c>
      <c r="D98" s="517" t="s">
        <v>7</v>
      </c>
      <c r="E98" s="517">
        <v>8.1</v>
      </c>
      <c r="F98" s="517" t="s">
        <v>521</v>
      </c>
      <c r="G98" s="517" t="s">
        <v>15</v>
      </c>
      <c r="H98" s="518" t="s">
        <v>16</v>
      </c>
      <c r="I98" s="617" t="s">
        <v>463</v>
      </c>
    </row>
    <row r="99" spans="1:9" ht="12.75">
      <c r="A99" s="524">
        <v>97</v>
      </c>
      <c r="B99" s="517" t="s">
        <v>123</v>
      </c>
      <c r="C99" s="517">
        <v>9</v>
      </c>
      <c r="D99" s="517" t="s">
        <v>7</v>
      </c>
      <c r="E99" s="517">
        <v>1.4</v>
      </c>
      <c r="F99" s="517" t="s">
        <v>521</v>
      </c>
      <c r="G99" s="517" t="s">
        <v>16</v>
      </c>
      <c r="H99" s="518" t="s">
        <v>24</v>
      </c>
      <c r="I99" s="617" t="s">
        <v>463</v>
      </c>
    </row>
    <row r="100" spans="1:9" ht="12.75">
      <c r="A100" s="524">
        <v>98</v>
      </c>
      <c r="B100" s="517" t="s">
        <v>124</v>
      </c>
      <c r="C100" s="517">
        <v>9</v>
      </c>
      <c r="D100" s="517" t="s">
        <v>7</v>
      </c>
      <c r="E100" s="517">
        <v>16</v>
      </c>
      <c r="F100" s="517" t="s">
        <v>521</v>
      </c>
      <c r="G100" s="517" t="s">
        <v>15</v>
      </c>
      <c r="H100" s="518" t="s">
        <v>24</v>
      </c>
      <c r="I100" s="617" t="s">
        <v>463</v>
      </c>
    </row>
    <row r="101" spans="1:9" ht="12.75">
      <c r="A101" s="524">
        <v>99</v>
      </c>
      <c r="B101" s="517" t="s">
        <v>125</v>
      </c>
      <c r="C101" s="517">
        <v>8</v>
      </c>
      <c r="D101" s="517" t="s">
        <v>8</v>
      </c>
      <c r="E101" s="517" t="s">
        <v>491</v>
      </c>
      <c r="F101" s="517"/>
      <c r="G101" s="517" t="s">
        <v>18</v>
      </c>
      <c r="H101" s="518">
        <v>0.0060999999999999995</v>
      </c>
      <c r="I101" s="617" t="s">
        <v>511</v>
      </c>
    </row>
    <row r="102" spans="1:9" ht="12.75">
      <c r="A102" s="524">
        <v>100</v>
      </c>
      <c r="B102" s="517" t="s">
        <v>126</v>
      </c>
      <c r="C102" s="517">
        <v>8</v>
      </c>
      <c r="D102" s="517" t="s">
        <v>8</v>
      </c>
      <c r="E102" s="517">
        <v>11000</v>
      </c>
      <c r="F102" s="517" t="s">
        <v>521</v>
      </c>
      <c r="G102" s="517" t="s">
        <v>18</v>
      </c>
      <c r="H102" s="518">
        <v>0.0050999999999999995</v>
      </c>
      <c r="I102" s="617" t="s">
        <v>463</v>
      </c>
    </row>
    <row r="103" spans="1:9" ht="12.75">
      <c r="A103" s="524">
        <v>101</v>
      </c>
      <c r="B103" s="517" t="s">
        <v>127</v>
      </c>
      <c r="C103" s="517">
        <v>9</v>
      </c>
      <c r="D103" s="517" t="s">
        <v>7</v>
      </c>
      <c r="E103" s="517" t="s">
        <v>491</v>
      </c>
      <c r="F103" s="517"/>
      <c r="G103" s="517" t="s">
        <v>16</v>
      </c>
      <c r="H103" s="518" t="s">
        <v>16</v>
      </c>
      <c r="I103" s="617" t="s">
        <v>511</v>
      </c>
    </row>
    <row r="104" spans="1:9" ht="12.75">
      <c r="A104" s="524">
        <v>102</v>
      </c>
      <c r="B104" s="517" t="s">
        <v>128</v>
      </c>
      <c r="C104" s="517">
        <v>9</v>
      </c>
      <c r="D104" s="517" t="s">
        <v>7</v>
      </c>
      <c r="E104" s="517">
        <v>0.00014</v>
      </c>
      <c r="F104" s="517" t="s">
        <v>521</v>
      </c>
      <c r="G104" s="517" t="s">
        <v>23</v>
      </c>
      <c r="H104" s="518" t="s">
        <v>508</v>
      </c>
      <c r="I104" s="617" t="s">
        <v>512</v>
      </c>
    </row>
    <row r="105" spans="1:9" ht="12.75">
      <c r="A105" s="524">
        <v>103</v>
      </c>
      <c r="B105" s="517" t="s">
        <v>129</v>
      </c>
      <c r="C105" s="517">
        <v>9</v>
      </c>
      <c r="D105" s="517" t="s">
        <v>7</v>
      </c>
      <c r="E105" s="517">
        <v>0.013</v>
      </c>
      <c r="F105" s="517" t="s">
        <v>521</v>
      </c>
      <c r="G105" s="517" t="s">
        <v>23</v>
      </c>
      <c r="H105" s="518">
        <v>0.000496</v>
      </c>
      <c r="I105" s="617" t="s">
        <v>463</v>
      </c>
    </row>
    <row r="106" spans="1:9" ht="12.75">
      <c r="A106" s="524">
        <v>104</v>
      </c>
      <c r="B106" s="517" t="s">
        <v>130</v>
      </c>
      <c r="C106" s="517">
        <v>9</v>
      </c>
      <c r="D106" s="517" t="s">
        <v>7</v>
      </c>
      <c r="E106" s="517">
        <v>0.046</v>
      </c>
      <c r="F106" s="517" t="s">
        <v>521</v>
      </c>
      <c r="G106" s="517" t="s">
        <v>24</v>
      </c>
      <c r="H106" s="518">
        <v>0.000413</v>
      </c>
      <c r="I106" s="617" t="s">
        <v>463</v>
      </c>
    </row>
    <row r="107" spans="1:9" ht="12.75">
      <c r="A107" s="524">
        <v>105</v>
      </c>
      <c r="B107" s="517" t="s">
        <v>131</v>
      </c>
      <c r="C107" s="517">
        <v>9</v>
      </c>
      <c r="D107" s="517" t="s">
        <v>7</v>
      </c>
      <c r="E107" s="517">
        <v>0.063</v>
      </c>
      <c r="F107" s="517" t="s">
        <v>521</v>
      </c>
      <c r="G107" s="517" t="s">
        <v>24</v>
      </c>
      <c r="H107" s="518">
        <v>0.0007034</v>
      </c>
      <c r="I107" s="617" t="s">
        <v>463</v>
      </c>
    </row>
    <row r="108" spans="1:9" ht="12.75">
      <c r="A108" s="524">
        <v>106</v>
      </c>
      <c r="B108" s="517" t="s">
        <v>132</v>
      </c>
      <c r="C108" s="517">
        <v>9</v>
      </c>
      <c r="D108" s="517" t="s">
        <v>7</v>
      </c>
      <c r="E108" s="517" t="s">
        <v>491</v>
      </c>
      <c r="F108" s="517"/>
      <c r="G108" s="517" t="s">
        <v>24</v>
      </c>
      <c r="H108" s="518">
        <v>4.2E-05</v>
      </c>
      <c r="I108" s="617" t="s">
        <v>511</v>
      </c>
    </row>
    <row r="109" spans="1:9" ht="12.75">
      <c r="A109" s="524">
        <v>107</v>
      </c>
      <c r="B109" s="517" t="s">
        <v>208</v>
      </c>
      <c r="C109" s="517">
        <v>9</v>
      </c>
      <c r="D109" s="517" t="s">
        <v>7</v>
      </c>
      <c r="E109" s="517">
        <v>0.00059</v>
      </c>
      <c r="F109" s="517" t="s">
        <v>521</v>
      </c>
      <c r="G109" s="517" t="s">
        <v>26</v>
      </c>
      <c r="H109" s="518">
        <v>0.00018</v>
      </c>
      <c r="I109" s="617" t="s">
        <v>512</v>
      </c>
    </row>
    <row r="110" spans="1:9" ht="12.75">
      <c r="A110" s="524">
        <v>108</v>
      </c>
      <c r="B110" s="517" t="s">
        <v>209</v>
      </c>
      <c r="C110" s="517">
        <v>9</v>
      </c>
      <c r="D110" s="517" t="s">
        <v>7</v>
      </c>
      <c r="E110" s="517">
        <v>0.00059</v>
      </c>
      <c r="F110" s="517" t="s">
        <v>521</v>
      </c>
      <c r="G110" s="517" t="s">
        <v>24</v>
      </c>
      <c r="H110" s="518">
        <v>6.6E-05</v>
      </c>
      <c r="I110" s="617" t="s">
        <v>512</v>
      </c>
    </row>
    <row r="111" spans="1:9" ht="12.75">
      <c r="A111" s="524">
        <v>109</v>
      </c>
      <c r="B111" s="517" t="s">
        <v>210</v>
      </c>
      <c r="C111" s="517">
        <v>9</v>
      </c>
      <c r="D111" s="517" t="s">
        <v>7</v>
      </c>
      <c r="E111" s="517">
        <v>0.00059</v>
      </c>
      <c r="F111" s="517" t="s">
        <v>521</v>
      </c>
      <c r="G111" s="517" t="s">
        <v>24</v>
      </c>
      <c r="H111" s="518" t="s">
        <v>509</v>
      </c>
      <c r="I111" s="617" t="s">
        <v>512</v>
      </c>
    </row>
    <row r="112" spans="1:9" ht="12.75">
      <c r="A112" s="524">
        <v>110</v>
      </c>
      <c r="B112" s="517" t="s">
        <v>211</v>
      </c>
      <c r="C112" s="517">
        <v>9</v>
      </c>
      <c r="D112" s="517" t="s">
        <v>7</v>
      </c>
      <c r="E112" s="517">
        <v>0.00084</v>
      </c>
      <c r="F112" s="517" t="s">
        <v>521</v>
      </c>
      <c r="G112" s="517" t="s">
        <v>24</v>
      </c>
      <c r="H112" s="518">
        <v>0.000313</v>
      </c>
      <c r="I112" s="617" t="s">
        <v>512</v>
      </c>
    </row>
    <row r="113" spans="1:9" ht="12.75">
      <c r="A113" s="524">
        <v>111</v>
      </c>
      <c r="B113" s="517" t="s">
        <v>212</v>
      </c>
      <c r="C113" s="517">
        <v>9</v>
      </c>
      <c r="D113" s="517" t="s">
        <v>7</v>
      </c>
      <c r="E113" s="517">
        <v>0.00014</v>
      </c>
      <c r="F113" s="517" t="s">
        <v>521</v>
      </c>
      <c r="G113" s="517" t="s">
        <v>23</v>
      </c>
      <c r="H113" s="518" t="s">
        <v>509</v>
      </c>
      <c r="I113" s="617" t="s">
        <v>512</v>
      </c>
    </row>
    <row r="114" spans="1:9" ht="12.75">
      <c r="A114" s="524">
        <v>112</v>
      </c>
      <c r="B114" s="517" t="s">
        <v>133</v>
      </c>
      <c r="C114" s="517">
        <v>9</v>
      </c>
      <c r="D114" s="517" t="s">
        <v>7</v>
      </c>
      <c r="E114" s="517">
        <v>0.0087</v>
      </c>
      <c r="F114" s="517" t="s">
        <v>525</v>
      </c>
      <c r="G114" s="517" t="s">
        <v>23</v>
      </c>
      <c r="H114" s="518">
        <v>3.1E-05</v>
      </c>
      <c r="I114" s="617" t="s">
        <v>463</v>
      </c>
    </row>
    <row r="115" spans="1:9" ht="12.75">
      <c r="A115" s="524">
        <v>113</v>
      </c>
      <c r="B115" s="517" t="s">
        <v>213</v>
      </c>
      <c r="C115" s="517">
        <v>9</v>
      </c>
      <c r="D115" s="517" t="s">
        <v>7</v>
      </c>
      <c r="E115" s="517">
        <v>0.0087</v>
      </c>
      <c r="F115" s="517" t="s">
        <v>525</v>
      </c>
      <c r="G115" s="517" t="s">
        <v>24</v>
      </c>
      <c r="H115" s="518">
        <v>6.9E-05</v>
      </c>
      <c r="I115" s="617" t="s">
        <v>463</v>
      </c>
    </row>
    <row r="116" spans="1:9" ht="12.75">
      <c r="A116" s="524">
        <v>114</v>
      </c>
      <c r="B116" s="517" t="s">
        <v>134</v>
      </c>
      <c r="C116" s="517">
        <v>9</v>
      </c>
      <c r="D116" s="517" t="s">
        <v>7</v>
      </c>
      <c r="E116" s="517">
        <v>240</v>
      </c>
      <c r="F116" s="517" t="s">
        <v>521</v>
      </c>
      <c r="G116" s="517" t="s">
        <v>24</v>
      </c>
      <c r="H116" s="518">
        <v>8.190000000000001E-05</v>
      </c>
      <c r="I116" s="617" t="s">
        <v>463</v>
      </c>
    </row>
    <row r="117" spans="1:9" ht="12.75">
      <c r="A117" s="524">
        <v>115</v>
      </c>
      <c r="B117" s="517" t="s">
        <v>135</v>
      </c>
      <c r="C117" s="517">
        <v>9</v>
      </c>
      <c r="D117" s="517" t="s">
        <v>7</v>
      </c>
      <c r="E117" s="517">
        <v>0.0023</v>
      </c>
      <c r="F117" s="517" t="s">
        <v>525</v>
      </c>
      <c r="G117" s="517" t="s">
        <v>23</v>
      </c>
      <c r="H117" s="518">
        <v>3.6E-05</v>
      </c>
      <c r="I117" s="617" t="s">
        <v>463</v>
      </c>
    </row>
    <row r="118" spans="1:9" ht="12.75">
      <c r="A118" s="524">
        <v>116</v>
      </c>
      <c r="B118" s="517" t="s">
        <v>136</v>
      </c>
      <c r="C118" s="517">
        <v>9</v>
      </c>
      <c r="D118" s="517" t="s">
        <v>7</v>
      </c>
      <c r="E118" s="517">
        <v>0.81</v>
      </c>
      <c r="F118" s="517" t="s">
        <v>521</v>
      </c>
      <c r="G118" s="517" t="s">
        <v>23</v>
      </c>
      <c r="H118" s="518" t="s">
        <v>23</v>
      </c>
      <c r="I118" s="617" t="s">
        <v>463</v>
      </c>
    </row>
    <row r="119" spans="1:9" ht="12.75">
      <c r="A119" s="524">
        <v>117</v>
      </c>
      <c r="B119" s="517" t="s">
        <v>137</v>
      </c>
      <c r="C119" s="517">
        <v>9</v>
      </c>
      <c r="D119" s="517" t="s">
        <v>7</v>
      </c>
      <c r="E119" s="517">
        <v>0.00021</v>
      </c>
      <c r="F119" s="517" t="s">
        <v>521</v>
      </c>
      <c r="G119" s="517" t="s">
        <v>27</v>
      </c>
      <c r="H119" s="518">
        <v>1.9E-05</v>
      </c>
      <c r="I119" s="617" t="s">
        <v>512</v>
      </c>
    </row>
    <row r="120" spans="1:9" ht="12.75">
      <c r="A120" s="524">
        <v>118</v>
      </c>
      <c r="B120" s="517" t="s">
        <v>214</v>
      </c>
      <c r="C120" s="517">
        <v>9</v>
      </c>
      <c r="D120" s="517" t="s">
        <v>7</v>
      </c>
      <c r="E120" s="517">
        <v>0.00011</v>
      </c>
      <c r="F120" s="517" t="s">
        <v>521</v>
      </c>
      <c r="G120" s="517" t="s">
        <v>23</v>
      </c>
      <c r="H120" s="518">
        <v>9.4E-05</v>
      </c>
      <c r="I120" s="617" t="s">
        <v>512</v>
      </c>
    </row>
    <row r="121" spans="1:9" ht="12.75">
      <c r="A121" s="524">
        <v>119</v>
      </c>
      <c r="B121" s="517" t="s">
        <v>425</v>
      </c>
      <c r="C121" s="517">
        <v>9</v>
      </c>
      <c r="D121" s="517" t="s">
        <v>7</v>
      </c>
      <c r="E121" s="517">
        <v>0.00017</v>
      </c>
      <c r="F121" s="517" t="s">
        <v>521</v>
      </c>
      <c r="G121" s="517" t="s">
        <v>18</v>
      </c>
      <c r="H121" s="518" t="s">
        <v>509</v>
      </c>
      <c r="I121" s="617" t="s">
        <v>512</v>
      </c>
    </row>
    <row r="122" spans="1:9" ht="12.75">
      <c r="A122" s="524">
        <v>125.5</v>
      </c>
      <c r="B122" s="517" t="s">
        <v>434</v>
      </c>
      <c r="C122" s="517">
        <v>9</v>
      </c>
      <c r="D122" s="517" t="s">
        <v>7</v>
      </c>
      <c r="E122" s="517">
        <v>0.00017</v>
      </c>
      <c r="F122" s="517" t="s">
        <v>521</v>
      </c>
      <c r="G122" s="517" t="s">
        <v>28</v>
      </c>
      <c r="H122" s="518" t="s">
        <v>509</v>
      </c>
      <c r="I122" s="617" t="s">
        <v>512</v>
      </c>
    </row>
    <row r="123" spans="1:9" ht="12.75">
      <c r="A123" s="524">
        <v>126</v>
      </c>
      <c r="B123" s="517" t="s">
        <v>138</v>
      </c>
      <c r="C123" s="517">
        <v>9</v>
      </c>
      <c r="D123" s="517" t="s">
        <v>7</v>
      </c>
      <c r="E123" s="517">
        <v>0.0002</v>
      </c>
      <c r="F123" s="517" t="s">
        <v>526</v>
      </c>
      <c r="G123" s="517" t="s">
        <v>29</v>
      </c>
      <c r="H123" s="518" t="s">
        <v>508</v>
      </c>
      <c r="I123" s="617" t="s">
        <v>512</v>
      </c>
    </row>
    <row r="124" spans="1:9" ht="12.75">
      <c r="A124" s="524">
        <v>1001</v>
      </c>
      <c r="B124" s="517" t="s">
        <v>215</v>
      </c>
      <c r="C124" s="517">
        <v>0</v>
      </c>
      <c r="D124" s="517"/>
      <c r="E124" s="517">
        <v>0.01</v>
      </c>
      <c r="F124" s="517" t="s">
        <v>522</v>
      </c>
      <c r="G124" s="517" t="s">
        <v>509</v>
      </c>
      <c r="H124" s="518" t="s">
        <v>509</v>
      </c>
      <c r="I124" s="617" t="s">
        <v>512</v>
      </c>
    </row>
    <row r="125" spans="1:9" ht="12.75">
      <c r="A125" s="525">
        <v>1002</v>
      </c>
      <c r="B125" s="520" t="s">
        <v>242</v>
      </c>
      <c r="C125" s="520">
        <v>8</v>
      </c>
      <c r="D125" s="520" t="s">
        <v>8</v>
      </c>
      <c r="E125" s="520">
        <v>15</v>
      </c>
      <c r="F125" s="520" t="s">
        <v>522</v>
      </c>
      <c r="G125" s="520" t="s">
        <v>20</v>
      </c>
      <c r="H125" s="521" t="s">
        <v>509</v>
      </c>
      <c r="I125" s="619" t="s">
        <v>512</v>
      </c>
    </row>
  </sheetData>
  <printOptions/>
  <pageMargins left="0.75" right="0.75" top="1" bottom="1" header="0.5" footer="0.5"/>
  <pageSetup fitToHeight="12" fitToWidth="1" horizontalDpi="300" verticalDpi="300" orientation="portrait" scale="82" r:id="rId1"/>
  <headerFooter alignWithMargins="0">
    <oddHeader>&amp;C&amp;16Summary of Reasonable Potential Analysis&amp;R&amp;12Rodeo Sanitary District
Tentative Order</oddHeader>
    <oddFooter>&amp;L&amp;F &amp;.xls&amp;  (&amp;A&amp; )&amp;CPage&amp;P of &amp;N&amp;R&amp;D</oddFooter>
  </headerFooter>
</worksheet>
</file>

<file path=xl/worksheets/sheet11.xml><?xml version="1.0" encoding="utf-8"?>
<worksheet xmlns="http://schemas.openxmlformats.org/spreadsheetml/2006/main" xmlns:r="http://schemas.openxmlformats.org/officeDocument/2006/relationships">
  <sheetPr codeName="Sheet4"/>
  <dimension ref="A2:K165"/>
  <sheetViews>
    <sheetView workbookViewId="0" topLeftCell="A43">
      <selection activeCell="H24" sqref="H24"/>
    </sheetView>
  </sheetViews>
  <sheetFormatPr defaultColWidth="9.140625" defaultRowHeight="12.75"/>
  <cols>
    <col min="1" max="1" width="19.7109375" style="0" customWidth="1"/>
    <col min="2" max="2" width="16.421875" style="0" customWidth="1"/>
    <col min="4" max="4" width="12.421875" style="0" customWidth="1"/>
    <col min="5" max="5" width="9.57421875" style="0" customWidth="1"/>
    <col min="6" max="6" width="12.57421875" style="0" customWidth="1"/>
    <col min="10" max="10" width="21.421875" style="0" customWidth="1"/>
  </cols>
  <sheetData>
    <row r="2" ht="15.75">
      <c r="A2" s="624" t="s">
        <v>529</v>
      </c>
    </row>
    <row r="5" spans="1:11" ht="21">
      <c r="A5" s="625" t="s">
        <v>530</v>
      </c>
      <c r="B5" s="625" t="s">
        <v>315</v>
      </c>
      <c r="C5" s="626" t="s">
        <v>531</v>
      </c>
      <c r="D5" s="627" t="s">
        <v>532</v>
      </c>
      <c r="E5" s="627" t="s">
        <v>533</v>
      </c>
      <c r="F5" s="627" t="s">
        <v>534</v>
      </c>
      <c r="G5" s="627" t="s">
        <v>535</v>
      </c>
      <c r="H5" s="627" t="s">
        <v>316</v>
      </c>
      <c r="I5" s="625" t="s">
        <v>536</v>
      </c>
      <c r="J5" s="625" t="s">
        <v>537</v>
      </c>
      <c r="K5" s="357"/>
    </row>
    <row r="6" spans="1:11" ht="12.75">
      <c r="A6" s="628" t="s">
        <v>538</v>
      </c>
      <c r="B6" s="629" t="s">
        <v>539</v>
      </c>
      <c r="C6" s="630">
        <v>37537</v>
      </c>
      <c r="D6" s="631" t="s">
        <v>245</v>
      </c>
      <c r="E6" s="631"/>
      <c r="F6" s="631">
        <v>2.26</v>
      </c>
      <c r="G6" s="629">
        <v>0.637</v>
      </c>
      <c r="H6" s="631" t="s">
        <v>540</v>
      </c>
      <c r="I6" s="629" t="s">
        <v>541</v>
      </c>
      <c r="J6" s="629" t="s">
        <v>542</v>
      </c>
      <c r="K6" s="357"/>
    </row>
    <row r="7" spans="1:11" ht="12.75">
      <c r="A7" s="628" t="s">
        <v>538</v>
      </c>
      <c r="B7" s="629" t="s">
        <v>543</v>
      </c>
      <c r="C7" s="630">
        <v>37537</v>
      </c>
      <c r="D7" s="631" t="s">
        <v>245</v>
      </c>
      <c r="E7" s="631"/>
      <c r="F7" s="631">
        <v>3.32</v>
      </c>
      <c r="G7" s="629">
        <v>2.81</v>
      </c>
      <c r="H7" s="631" t="s">
        <v>540</v>
      </c>
      <c r="I7" s="629" t="s">
        <v>544</v>
      </c>
      <c r="J7" s="629" t="s">
        <v>542</v>
      </c>
      <c r="K7" s="357"/>
    </row>
    <row r="8" spans="1:11" ht="12.75">
      <c r="A8" s="628" t="s">
        <v>538</v>
      </c>
      <c r="B8" s="629" t="s">
        <v>545</v>
      </c>
      <c r="C8" s="630">
        <v>37537</v>
      </c>
      <c r="D8" s="631" t="s">
        <v>245</v>
      </c>
      <c r="E8" s="631"/>
      <c r="F8" s="631">
        <v>3.64</v>
      </c>
      <c r="G8" s="629">
        <v>1.75</v>
      </c>
      <c r="H8" s="631" t="s">
        <v>540</v>
      </c>
      <c r="I8" s="629" t="s">
        <v>546</v>
      </c>
      <c r="J8" s="629" t="s">
        <v>542</v>
      </c>
      <c r="K8" s="357"/>
    </row>
    <row r="9" spans="1:11" ht="12.75">
      <c r="A9" s="628" t="s">
        <v>538</v>
      </c>
      <c r="B9" s="629" t="s">
        <v>547</v>
      </c>
      <c r="C9" s="630">
        <v>37537</v>
      </c>
      <c r="D9" s="631" t="s">
        <v>245</v>
      </c>
      <c r="E9" s="631"/>
      <c r="F9" s="631">
        <v>3.42</v>
      </c>
      <c r="G9" s="629">
        <v>1.87</v>
      </c>
      <c r="H9" s="631" t="s">
        <v>540</v>
      </c>
      <c r="I9" s="629" t="s">
        <v>548</v>
      </c>
      <c r="J9" s="629" t="s">
        <v>542</v>
      </c>
      <c r="K9" s="357"/>
    </row>
    <row r="10" spans="1:11" ht="12.75">
      <c r="A10" s="628" t="s">
        <v>538</v>
      </c>
      <c r="B10" s="629" t="s">
        <v>549</v>
      </c>
      <c r="C10" s="630">
        <v>37537</v>
      </c>
      <c r="D10" s="631" t="s">
        <v>245</v>
      </c>
      <c r="E10" s="631"/>
      <c r="F10" s="631">
        <v>3.34</v>
      </c>
      <c r="G10" s="629">
        <v>2.71</v>
      </c>
      <c r="H10" s="631" t="s">
        <v>540</v>
      </c>
      <c r="I10" s="629" t="s">
        <v>550</v>
      </c>
      <c r="J10" s="629" t="s">
        <v>542</v>
      </c>
      <c r="K10" s="357"/>
    </row>
    <row r="11" spans="1:11" ht="12.75">
      <c r="A11" s="628" t="s">
        <v>538</v>
      </c>
      <c r="B11" s="629" t="s">
        <v>551</v>
      </c>
      <c r="C11" s="630">
        <v>37537</v>
      </c>
      <c r="D11" s="631" t="s">
        <v>245</v>
      </c>
      <c r="E11" s="631"/>
      <c r="F11" s="631">
        <v>2.89</v>
      </c>
      <c r="G11" s="629">
        <v>3.05</v>
      </c>
      <c r="H11" s="631" t="s">
        <v>540</v>
      </c>
      <c r="I11" s="629" t="s">
        <v>552</v>
      </c>
      <c r="J11" s="629" t="s">
        <v>542</v>
      </c>
      <c r="K11" s="357"/>
    </row>
    <row r="12" spans="1:11" ht="12.75">
      <c r="A12" s="628" t="s">
        <v>538</v>
      </c>
      <c r="B12" s="629" t="s">
        <v>553</v>
      </c>
      <c r="C12" s="630">
        <v>37537</v>
      </c>
      <c r="D12" s="631" t="s">
        <v>245</v>
      </c>
      <c r="E12" s="631"/>
      <c r="F12" s="631" t="s">
        <v>554</v>
      </c>
      <c r="G12" s="629">
        <v>6.96</v>
      </c>
      <c r="H12" s="631" t="s">
        <v>540</v>
      </c>
      <c r="I12" s="629" t="s">
        <v>555</v>
      </c>
      <c r="J12" s="629" t="s">
        <v>542</v>
      </c>
      <c r="K12" s="357"/>
    </row>
    <row r="13" spans="1:11" ht="12.75">
      <c r="A13" s="628" t="s">
        <v>538</v>
      </c>
      <c r="B13" s="629" t="s">
        <v>556</v>
      </c>
      <c r="C13" s="630">
        <v>37537</v>
      </c>
      <c r="D13" s="631" t="s">
        <v>245</v>
      </c>
      <c r="E13" s="631" t="s">
        <v>322</v>
      </c>
      <c r="F13" s="631">
        <v>1.47</v>
      </c>
      <c r="G13" s="629">
        <v>1.03</v>
      </c>
      <c r="H13" s="631" t="s">
        <v>540</v>
      </c>
      <c r="I13" s="629" t="s">
        <v>557</v>
      </c>
      <c r="J13" s="629" t="s">
        <v>542</v>
      </c>
      <c r="K13" s="357"/>
    </row>
    <row r="14" spans="1:11" ht="12.75">
      <c r="A14" s="628" t="s">
        <v>538</v>
      </c>
      <c r="B14" s="629" t="s">
        <v>558</v>
      </c>
      <c r="C14" s="630">
        <v>37537</v>
      </c>
      <c r="D14" s="631" t="s">
        <v>245</v>
      </c>
      <c r="E14" s="631"/>
      <c r="F14" s="631">
        <v>1.89</v>
      </c>
      <c r="G14" s="629">
        <v>2.25</v>
      </c>
      <c r="H14" s="631" t="s">
        <v>540</v>
      </c>
      <c r="I14" s="629" t="s">
        <v>559</v>
      </c>
      <c r="J14" s="629" t="s">
        <v>542</v>
      </c>
      <c r="K14" s="357"/>
    </row>
    <row r="15" spans="1:11" ht="12.75">
      <c r="A15" s="628" t="s">
        <v>538</v>
      </c>
      <c r="B15" s="629" t="s">
        <v>560</v>
      </c>
      <c r="C15" s="630">
        <v>37537</v>
      </c>
      <c r="D15" s="631" t="s">
        <v>245</v>
      </c>
      <c r="E15" s="631"/>
      <c r="F15" s="631">
        <v>1.63</v>
      </c>
      <c r="G15" s="629">
        <v>2.38</v>
      </c>
      <c r="H15" s="631" t="s">
        <v>540</v>
      </c>
      <c r="I15" s="629" t="s">
        <v>561</v>
      </c>
      <c r="J15" s="629" t="s">
        <v>542</v>
      </c>
      <c r="K15" s="357"/>
    </row>
    <row r="16" spans="1:11" ht="12.75">
      <c r="A16" s="628" t="s">
        <v>538</v>
      </c>
      <c r="B16" s="629" t="s">
        <v>562</v>
      </c>
      <c r="C16" s="630">
        <v>37537</v>
      </c>
      <c r="D16" s="631" t="s">
        <v>245</v>
      </c>
      <c r="E16" s="631"/>
      <c r="F16" s="631">
        <v>1.29</v>
      </c>
      <c r="G16" s="629">
        <v>2.38</v>
      </c>
      <c r="H16" s="631" t="s">
        <v>540</v>
      </c>
      <c r="I16" s="629" t="s">
        <v>563</v>
      </c>
      <c r="J16" s="629" t="s">
        <v>542</v>
      </c>
      <c r="K16" s="357"/>
    </row>
    <row r="17" spans="1:11" ht="12.75">
      <c r="A17" s="628" t="s">
        <v>538</v>
      </c>
      <c r="B17" s="629" t="s">
        <v>564</v>
      </c>
      <c r="C17" s="630">
        <v>37537</v>
      </c>
      <c r="D17" s="631" t="s">
        <v>245</v>
      </c>
      <c r="E17" s="631"/>
      <c r="F17" s="631">
        <v>1.27</v>
      </c>
      <c r="G17" s="629">
        <v>2.44</v>
      </c>
      <c r="H17" s="631" t="s">
        <v>540</v>
      </c>
      <c r="I17" s="629" t="s">
        <v>565</v>
      </c>
      <c r="J17" s="629" t="s">
        <v>542</v>
      </c>
      <c r="K17" s="357"/>
    </row>
    <row r="18" spans="1:11" ht="12.75">
      <c r="A18" s="628" t="s">
        <v>538</v>
      </c>
      <c r="B18" s="629" t="s">
        <v>566</v>
      </c>
      <c r="C18" s="630">
        <v>37537</v>
      </c>
      <c r="D18" s="631" t="s">
        <v>245</v>
      </c>
      <c r="E18" s="631"/>
      <c r="F18" s="631">
        <v>1.52</v>
      </c>
      <c r="G18" s="629">
        <v>3.06</v>
      </c>
      <c r="H18" s="631" t="s">
        <v>540</v>
      </c>
      <c r="I18" s="629" t="s">
        <v>567</v>
      </c>
      <c r="J18" s="629" t="s">
        <v>542</v>
      </c>
      <c r="K18" s="357"/>
    </row>
    <row r="19" spans="1:11" ht="12.75">
      <c r="A19" s="628" t="s">
        <v>538</v>
      </c>
      <c r="B19" s="629" t="s">
        <v>568</v>
      </c>
      <c r="C19" s="630">
        <v>37537</v>
      </c>
      <c r="D19" s="631" t="s">
        <v>245</v>
      </c>
      <c r="E19" s="631"/>
      <c r="F19" s="631">
        <v>2.11</v>
      </c>
      <c r="G19" s="629">
        <v>2.31</v>
      </c>
      <c r="H19" s="631" t="s">
        <v>540</v>
      </c>
      <c r="I19" s="629" t="s">
        <v>569</v>
      </c>
      <c r="J19" s="629" t="s">
        <v>542</v>
      </c>
      <c r="K19" s="357"/>
    </row>
    <row r="20" spans="1:11" ht="12.75">
      <c r="A20" s="628" t="s">
        <v>538</v>
      </c>
      <c r="B20" s="629" t="s">
        <v>570</v>
      </c>
      <c r="C20" s="630">
        <v>37537</v>
      </c>
      <c r="D20" s="631" t="s">
        <v>245</v>
      </c>
      <c r="E20" s="631"/>
      <c r="F20" s="631">
        <v>1.31</v>
      </c>
      <c r="G20" s="629">
        <v>3.57</v>
      </c>
      <c r="H20" s="631" t="s">
        <v>540</v>
      </c>
      <c r="I20" s="629" t="s">
        <v>571</v>
      </c>
      <c r="J20" s="629" t="s">
        <v>542</v>
      </c>
      <c r="K20" s="357"/>
    </row>
    <row r="21" spans="1:11" ht="12.75">
      <c r="A21" s="628" t="s">
        <v>538</v>
      </c>
      <c r="B21" s="629" t="s">
        <v>572</v>
      </c>
      <c r="C21" s="630">
        <v>37537</v>
      </c>
      <c r="D21" s="631" t="s">
        <v>245</v>
      </c>
      <c r="E21" s="631"/>
      <c r="F21" s="631">
        <v>1.85</v>
      </c>
      <c r="G21" s="629">
        <v>3.13</v>
      </c>
      <c r="H21" s="631" t="s">
        <v>540</v>
      </c>
      <c r="I21" s="629" t="s">
        <v>573</v>
      </c>
      <c r="J21" s="629" t="s">
        <v>542</v>
      </c>
      <c r="K21" s="357"/>
    </row>
    <row r="22" spans="1:11" ht="12.75">
      <c r="A22" s="628" t="s">
        <v>538</v>
      </c>
      <c r="B22" s="629" t="s">
        <v>574</v>
      </c>
      <c r="C22" s="630">
        <v>37537</v>
      </c>
      <c r="D22" s="631" t="s">
        <v>245</v>
      </c>
      <c r="E22" s="631"/>
      <c r="F22" s="631">
        <v>7.52</v>
      </c>
      <c r="G22" s="629">
        <v>6.17</v>
      </c>
      <c r="H22" s="631" t="s">
        <v>540</v>
      </c>
      <c r="I22" s="629" t="s">
        <v>575</v>
      </c>
      <c r="J22" s="629" t="s">
        <v>542</v>
      </c>
      <c r="K22" s="357"/>
    </row>
    <row r="23" spans="1:11" ht="12.75">
      <c r="A23" s="632" t="s">
        <v>576</v>
      </c>
      <c r="C23" s="633"/>
      <c r="D23" s="634"/>
      <c r="E23" s="634"/>
      <c r="F23" s="634"/>
      <c r="G23" s="635"/>
      <c r="H23" s="634"/>
      <c r="I23" s="635"/>
      <c r="J23" s="635"/>
      <c r="K23" s="357"/>
    </row>
    <row r="24" spans="1:11" ht="12.75">
      <c r="A24" s="632" t="s">
        <v>577</v>
      </c>
      <c r="B24" s="635"/>
      <c r="C24" s="633"/>
      <c r="D24" s="634"/>
      <c r="E24" s="634"/>
      <c r="F24" s="634"/>
      <c r="G24" s="635"/>
      <c r="H24" s="634"/>
      <c r="I24" s="635"/>
      <c r="J24" s="635"/>
      <c r="K24" s="357"/>
    </row>
    <row r="25" spans="1:11" ht="12.75">
      <c r="A25" s="632" t="s">
        <v>578</v>
      </c>
      <c r="B25" s="635"/>
      <c r="C25" s="633"/>
      <c r="D25" s="634" t="s">
        <v>322</v>
      </c>
      <c r="E25" s="634"/>
      <c r="F25" s="634"/>
      <c r="G25" s="635"/>
      <c r="H25" s="634"/>
      <c r="I25" s="635"/>
      <c r="J25" s="635"/>
      <c r="K25" s="357"/>
    </row>
    <row r="26" spans="1:11" ht="12.75">
      <c r="A26" s="632"/>
      <c r="B26" s="635"/>
      <c r="C26" s="633"/>
      <c r="D26" s="634"/>
      <c r="E26" s="634"/>
      <c r="F26" s="634"/>
      <c r="G26" s="635"/>
      <c r="H26" s="634"/>
      <c r="I26" s="635"/>
      <c r="J26" s="635"/>
      <c r="K26" s="357"/>
    </row>
    <row r="27" spans="1:3" ht="12.75">
      <c r="A27" s="636"/>
      <c r="C27" t="s">
        <v>322</v>
      </c>
    </row>
    <row r="28" spans="1:11" ht="21">
      <c r="A28" s="625" t="s">
        <v>530</v>
      </c>
      <c r="B28" s="625" t="s">
        <v>315</v>
      </c>
      <c r="C28" s="626" t="s">
        <v>531</v>
      </c>
      <c r="D28" s="627" t="s">
        <v>532</v>
      </c>
      <c r="E28" s="627" t="s">
        <v>579</v>
      </c>
      <c r="F28" s="627" t="s">
        <v>534</v>
      </c>
      <c r="G28" s="627" t="s">
        <v>535</v>
      </c>
      <c r="H28" s="627" t="s">
        <v>316</v>
      </c>
      <c r="I28" s="625" t="s">
        <v>536</v>
      </c>
      <c r="J28" s="625" t="s">
        <v>537</v>
      </c>
      <c r="K28" s="357"/>
    </row>
    <row r="29" spans="1:11" ht="12.75">
      <c r="A29" s="628" t="s">
        <v>538</v>
      </c>
      <c r="B29" s="629" t="s">
        <v>539</v>
      </c>
      <c r="C29" s="630">
        <v>37743</v>
      </c>
      <c r="D29" s="631" t="s">
        <v>245</v>
      </c>
      <c r="E29" s="631"/>
      <c r="F29" s="631">
        <v>1.51</v>
      </c>
      <c r="G29" s="629">
        <v>1.45</v>
      </c>
      <c r="H29" s="631" t="s">
        <v>540</v>
      </c>
      <c r="I29" s="629" t="s">
        <v>541</v>
      </c>
      <c r="J29" s="629" t="s">
        <v>542</v>
      </c>
      <c r="K29" s="357"/>
    </row>
    <row r="30" spans="1:11" ht="12.75">
      <c r="A30" s="628" t="s">
        <v>538</v>
      </c>
      <c r="B30" s="629" t="s">
        <v>543</v>
      </c>
      <c r="C30" s="630">
        <v>37743</v>
      </c>
      <c r="D30" s="631" t="s">
        <v>245</v>
      </c>
      <c r="E30" s="631"/>
      <c r="F30" s="631">
        <v>3.51</v>
      </c>
      <c r="G30" s="629">
        <v>1.68</v>
      </c>
      <c r="H30" s="631" t="s">
        <v>540</v>
      </c>
      <c r="I30" s="629" t="s">
        <v>544</v>
      </c>
      <c r="J30" s="629" t="s">
        <v>542</v>
      </c>
      <c r="K30" s="357"/>
    </row>
    <row r="31" spans="1:11" ht="12.75">
      <c r="A31" s="628" t="s">
        <v>538</v>
      </c>
      <c r="B31" s="629" t="s">
        <v>545</v>
      </c>
      <c r="C31" s="630">
        <v>37743</v>
      </c>
      <c r="D31" s="631" t="s">
        <v>245</v>
      </c>
      <c r="E31" s="631"/>
      <c r="F31" s="631">
        <v>2.13</v>
      </c>
      <c r="G31" s="629">
        <v>2.67</v>
      </c>
      <c r="H31" s="631" t="s">
        <v>540</v>
      </c>
      <c r="I31" s="629" t="s">
        <v>546</v>
      </c>
      <c r="J31" s="629" t="s">
        <v>542</v>
      </c>
      <c r="K31" s="357"/>
    </row>
    <row r="32" spans="1:11" ht="12.75">
      <c r="A32" s="628" t="s">
        <v>538</v>
      </c>
      <c r="B32" s="629" t="s">
        <v>547</v>
      </c>
      <c r="C32" s="630">
        <v>37743</v>
      </c>
      <c r="D32" s="631" t="s">
        <v>245</v>
      </c>
      <c r="E32" s="631"/>
      <c r="F32" s="631">
        <v>2.17</v>
      </c>
      <c r="G32" s="629">
        <v>2.02</v>
      </c>
      <c r="H32" s="631" t="s">
        <v>540</v>
      </c>
      <c r="I32" s="629" t="s">
        <v>548</v>
      </c>
      <c r="J32" s="629" t="s">
        <v>542</v>
      </c>
      <c r="K32" s="357"/>
    </row>
    <row r="33" spans="1:11" ht="12.75">
      <c r="A33" s="628" t="s">
        <v>538</v>
      </c>
      <c r="B33" s="629" t="s">
        <v>549</v>
      </c>
      <c r="C33" s="630">
        <v>37743</v>
      </c>
      <c r="D33" s="631" t="s">
        <v>245</v>
      </c>
      <c r="E33" s="631"/>
      <c r="F33" s="631">
        <v>2.08</v>
      </c>
      <c r="G33" s="629">
        <v>1.31</v>
      </c>
      <c r="H33" s="631" t="s">
        <v>540</v>
      </c>
      <c r="I33" s="629" t="s">
        <v>550</v>
      </c>
      <c r="J33" s="629" t="s">
        <v>542</v>
      </c>
      <c r="K33" s="357"/>
    </row>
    <row r="34" spans="1:11" ht="12.75">
      <c r="A34" s="628" t="s">
        <v>538</v>
      </c>
      <c r="B34" s="629" t="s">
        <v>551</v>
      </c>
      <c r="C34" s="630">
        <v>37743</v>
      </c>
      <c r="D34" s="631" t="s">
        <v>245</v>
      </c>
      <c r="E34" s="631"/>
      <c r="F34" s="631">
        <v>3.06</v>
      </c>
      <c r="G34" s="629">
        <v>3.27</v>
      </c>
      <c r="H34" s="631" t="s">
        <v>540</v>
      </c>
      <c r="I34" s="629" t="s">
        <v>552</v>
      </c>
      <c r="J34" s="629" t="s">
        <v>542</v>
      </c>
      <c r="K34" s="357"/>
    </row>
    <row r="35" spans="1:11" ht="12.75">
      <c r="A35" s="628" t="s">
        <v>538</v>
      </c>
      <c r="B35" s="629" t="s">
        <v>553</v>
      </c>
      <c r="C35" s="630">
        <v>37743</v>
      </c>
      <c r="D35" s="631" t="s">
        <v>245</v>
      </c>
      <c r="E35" s="631">
        <v>10</v>
      </c>
      <c r="F35" s="631"/>
      <c r="G35" s="629">
        <v>7.46</v>
      </c>
      <c r="H35" s="631" t="s">
        <v>540</v>
      </c>
      <c r="I35" s="629" t="s">
        <v>555</v>
      </c>
      <c r="J35" s="629" t="s">
        <v>542</v>
      </c>
      <c r="K35" s="357"/>
    </row>
    <row r="36" spans="1:11" ht="12.75">
      <c r="A36" s="628" t="s">
        <v>538</v>
      </c>
      <c r="B36" s="629" t="s">
        <v>556</v>
      </c>
      <c r="C36" s="630">
        <v>37743</v>
      </c>
      <c r="D36" s="631" t="s">
        <v>245</v>
      </c>
      <c r="E36" s="631"/>
      <c r="F36" s="631">
        <v>1.3</v>
      </c>
      <c r="G36" s="629">
        <v>0.632</v>
      </c>
      <c r="H36" s="631" t="s">
        <v>540</v>
      </c>
      <c r="I36" s="629" t="s">
        <v>557</v>
      </c>
      <c r="J36" s="629" t="s">
        <v>542</v>
      </c>
      <c r="K36" s="357"/>
    </row>
    <row r="37" spans="1:11" ht="12.75">
      <c r="A37" s="628" t="s">
        <v>538</v>
      </c>
      <c r="B37" s="629" t="s">
        <v>558</v>
      </c>
      <c r="C37" s="630">
        <v>37743</v>
      </c>
      <c r="D37" s="631" t="s">
        <v>245</v>
      </c>
      <c r="E37" s="631"/>
      <c r="F37" s="631">
        <v>0.923</v>
      </c>
      <c r="G37" s="629">
        <v>1.47</v>
      </c>
      <c r="H37" s="631" t="s">
        <v>540</v>
      </c>
      <c r="I37" s="629" t="s">
        <v>559</v>
      </c>
      <c r="J37" s="629" t="s">
        <v>542</v>
      </c>
      <c r="K37" s="357"/>
    </row>
    <row r="38" spans="1:11" ht="12.75">
      <c r="A38" s="628" t="s">
        <v>538</v>
      </c>
      <c r="B38" s="629" t="s">
        <v>560</v>
      </c>
      <c r="C38" s="630">
        <v>37743</v>
      </c>
      <c r="D38" s="631" t="s">
        <v>245</v>
      </c>
      <c r="E38" s="631"/>
      <c r="F38" s="631">
        <v>0.717</v>
      </c>
      <c r="G38" s="629">
        <v>1.31</v>
      </c>
      <c r="H38" s="631" t="s">
        <v>540</v>
      </c>
      <c r="I38" s="629" t="s">
        <v>561</v>
      </c>
      <c r="J38" s="629" t="s">
        <v>542</v>
      </c>
      <c r="K38" s="357"/>
    </row>
    <row r="39" spans="1:11" ht="12.75">
      <c r="A39" s="628" t="s">
        <v>538</v>
      </c>
      <c r="B39" s="629" t="s">
        <v>562</v>
      </c>
      <c r="C39" s="630">
        <v>37743</v>
      </c>
      <c r="D39" s="631" t="s">
        <v>245</v>
      </c>
      <c r="E39" s="631"/>
      <c r="F39" s="631">
        <v>0.737</v>
      </c>
      <c r="G39" s="629">
        <v>1.8</v>
      </c>
      <c r="H39" s="631" t="s">
        <v>540</v>
      </c>
      <c r="I39" s="629" t="s">
        <v>563</v>
      </c>
      <c r="J39" s="629" t="s">
        <v>542</v>
      </c>
      <c r="K39" s="357"/>
    </row>
    <row r="40" spans="1:11" ht="12.75">
      <c r="A40" s="628" t="s">
        <v>538</v>
      </c>
      <c r="B40" s="629" t="s">
        <v>564</v>
      </c>
      <c r="C40" s="630">
        <v>37743</v>
      </c>
      <c r="D40" s="631" t="s">
        <v>245</v>
      </c>
      <c r="E40" s="631"/>
      <c r="F40" s="631">
        <v>0.786</v>
      </c>
      <c r="G40" s="629">
        <v>2.23</v>
      </c>
      <c r="H40" s="631" t="s">
        <v>540</v>
      </c>
      <c r="I40" s="629" t="s">
        <v>565</v>
      </c>
      <c r="J40" s="629" t="s">
        <v>542</v>
      </c>
      <c r="K40" s="357"/>
    </row>
    <row r="41" spans="1:11" ht="12.75">
      <c r="A41" s="628" t="s">
        <v>538</v>
      </c>
      <c r="B41" s="629" t="s">
        <v>566</v>
      </c>
      <c r="C41" s="630">
        <v>37743</v>
      </c>
      <c r="D41" s="631" t="s">
        <v>245</v>
      </c>
      <c r="E41" s="631"/>
      <c r="F41" s="631">
        <v>0.886</v>
      </c>
      <c r="G41" s="629">
        <v>1.93</v>
      </c>
      <c r="H41" s="631" t="s">
        <v>540</v>
      </c>
      <c r="I41" s="629" t="s">
        <v>567</v>
      </c>
      <c r="J41" s="629" t="s">
        <v>542</v>
      </c>
      <c r="K41" s="357"/>
    </row>
    <row r="42" spans="1:11" ht="12.75">
      <c r="A42" s="628" t="s">
        <v>538</v>
      </c>
      <c r="B42" s="629" t="s">
        <v>568</v>
      </c>
      <c r="C42" s="630">
        <v>37743</v>
      </c>
      <c r="D42" s="631" t="s">
        <v>245</v>
      </c>
      <c r="E42" s="631"/>
      <c r="F42" s="631">
        <v>1.26</v>
      </c>
      <c r="G42" s="629">
        <v>1.76</v>
      </c>
      <c r="H42" s="631" t="s">
        <v>540</v>
      </c>
      <c r="I42" s="629" t="s">
        <v>569</v>
      </c>
      <c r="J42" s="629" t="s">
        <v>542</v>
      </c>
      <c r="K42" s="357"/>
    </row>
    <row r="43" spans="1:11" ht="12.75">
      <c r="A43" s="628" t="s">
        <v>538</v>
      </c>
      <c r="B43" s="629" t="s">
        <v>570</v>
      </c>
      <c r="C43" s="630">
        <v>37743</v>
      </c>
      <c r="D43" s="631" t="s">
        <v>245</v>
      </c>
      <c r="E43" s="631"/>
      <c r="F43" s="631">
        <v>1.41</v>
      </c>
      <c r="G43" s="629">
        <v>2.65</v>
      </c>
      <c r="H43" s="631" t="s">
        <v>540</v>
      </c>
      <c r="I43" s="629" t="s">
        <v>571</v>
      </c>
      <c r="J43" s="629" t="s">
        <v>542</v>
      </c>
      <c r="K43" s="357"/>
    </row>
    <row r="44" spans="1:11" ht="12.75">
      <c r="A44" s="628" t="s">
        <v>538</v>
      </c>
      <c r="B44" s="629" t="s">
        <v>572</v>
      </c>
      <c r="C44" s="630">
        <v>37743</v>
      </c>
      <c r="D44" s="631" t="s">
        <v>245</v>
      </c>
      <c r="E44" s="631"/>
      <c r="F44" s="631">
        <v>1.79</v>
      </c>
      <c r="G44" s="629">
        <v>2.43</v>
      </c>
      <c r="H44" s="631" t="s">
        <v>540</v>
      </c>
      <c r="I44" s="629" t="s">
        <v>573</v>
      </c>
      <c r="J44" s="629" t="s">
        <v>542</v>
      </c>
      <c r="K44" s="357"/>
    </row>
    <row r="45" spans="1:11" ht="12.75">
      <c r="A45" s="628" t="s">
        <v>538</v>
      </c>
      <c r="B45" s="629" t="s">
        <v>574</v>
      </c>
      <c r="C45" s="630">
        <v>37743</v>
      </c>
      <c r="D45" s="631" t="s">
        <v>245</v>
      </c>
      <c r="E45" s="631"/>
      <c r="F45" s="631" t="s">
        <v>580</v>
      </c>
      <c r="G45" s="629">
        <v>9.74</v>
      </c>
      <c r="H45" s="631" t="s">
        <v>540</v>
      </c>
      <c r="I45" s="629" t="s">
        <v>575</v>
      </c>
      <c r="J45" s="629" t="s">
        <v>542</v>
      </c>
      <c r="K45" s="357"/>
    </row>
    <row r="46" spans="1:11" ht="12.75">
      <c r="A46" s="632" t="s">
        <v>576</v>
      </c>
      <c r="B46" s="635"/>
      <c r="C46" s="633"/>
      <c r="D46" s="634"/>
      <c r="E46" s="634"/>
      <c r="F46" s="634"/>
      <c r="G46" s="635"/>
      <c r="H46" s="634"/>
      <c r="I46" s="635"/>
      <c r="J46" s="635"/>
      <c r="K46" s="357"/>
    </row>
    <row r="47" spans="1:11" ht="12.75">
      <c r="A47" s="632" t="s">
        <v>577</v>
      </c>
      <c r="B47" s="635"/>
      <c r="C47" s="633"/>
      <c r="D47" s="634"/>
      <c r="E47" s="634"/>
      <c r="F47" s="634"/>
      <c r="G47" s="635"/>
      <c r="H47" s="634"/>
      <c r="I47" s="635"/>
      <c r="J47" s="635"/>
      <c r="K47" s="357"/>
    </row>
    <row r="48" spans="1:11" ht="12.75">
      <c r="A48" s="632" t="s">
        <v>578</v>
      </c>
      <c r="B48" s="635"/>
      <c r="C48" s="633"/>
      <c r="D48" s="634"/>
      <c r="E48" s="634"/>
      <c r="F48" s="634"/>
      <c r="G48" s="635"/>
      <c r="H48" s="634"/>
      <c r="I48" s="635"/>
      <c r="J48" s="635"/>
      <c r="K48" s="357"/>
    </row>
    <row r="49" ht="12.75">
      <c r="C49" t="s">
        <v>322</v>
      </c>
    </row>
    <row r="50" spans="1:11" ht="21">
      <c r="A50" s="625" t="s">
        <v>530</v>
      </c>
      <c r="B50" s="625" t="s">
        <v>315</v>
      </c>
      <c r="C50" s="626" t="s">
        <v>531</v>
      </c>
      <c r="D50" s="627" t="s">
        <v>532</v>
      </c>
      <c r="E50" s="627" t="s">
        <v>581</v>
      </c>
      <c r="F50" s="627" t="s">
        <v>582</v>
      </c>
      <c r="G50" s="627" t="s">
        <v>264</v>
      </c>
      <c r="H50" s="627" t="s">
        <v>316</v>
      </c>
      <c r="I50" s="625" t="s">
        <v>536</v>
      </c>
      <c r="J50" s="625" t="s">
        <v>537</v>
      </c>
      <c r="K50" s="357"/>
    </row>
    <row r="51" spans="1:11" ht="12.75">
      <c r="A51" s="628" t="s">
        <v>538</v>
      </c>
      <c r="B51" s="629" t="s">
        <v>539</v>
      </c>
      <c r="C51" s="630">
        <v>37897</v>
      </c>
      <c r="D51" s="631" t="s">
        <v>245</v>
      </c>
      <c r="E51" s="631"/>
      <c r="F51" s="631">
        <v>1.52</v>
      </c>
      <c r="G51" s="629">
        <v>0.637</v>
      </c>
      <c r="H51" s="631" t="s">
        <v>540</v>
      </c>
      <c r="I51" s="629" t="s">
        <v>541</v>
      </c>
      <c r="J51" s="629" t="s">
        <v>542</v>
      </c>
      <c r="K51" s="357"/>
    </row>
    <row r="52" spans="1:11" ht="12.75">
      <c r="A52" s="628" t="s">
        <v>538</v>
      </c>
      <c r="B52" s="629" t="s">
        <v>543</v>
      </c>
      <c r="C52" s="630">
        <v>37897</v>
      </c>
      <c r="D52" s="631" t="s">
        <v>245</v>
      </c>
      <c r="E52" s="631"/>
      <c r="F52" s="631">
        <v>4.31</v>
      </c>
      <c r="G52" s="629">
        <v>2.81</v>
      </c>
      <c r="H52" s="631" t="s">
        <v>540</v>
      </c>
      <c r="I52" s="629" t="s">
        <v>544</v>
      </c>
      <c r="J52" s="629" t="s">
        <v>542</v>
      </c>
      <c r="K52" s="357"/>
    </row>
    <row r="53" spans="1:11" ht="12.75">
      <c r="A53" s="628" t="s">
        <v>538</v>
      </c>
      <c r="B53" s="629" t="s">
        <v>545</v>
      </c>
      <c r="C53" s="630">
        <v>37897</v>
      </c>
      <c r="D53" s="631" t="s">
        <v>245</v>
      </c>
      <c r="E53" s="631"/>
      <c r="F53" s="631">
        <v>3.77</v>
      </c>
      <c r="G53" s="629">
        <v>1.75</v>
      </c>
      <c r="H53" s="631" t="s">
        <v>540</v>
      </c>
      <c r="I53" s="629" t="s">
        <v>546</v>
      </c>
      <c r="J53" s="629" t="s">
        <v>542</v>
      </c>
      <c r="K53" s="357"/>
    </row>
    <row r="54" spans="1:11" ht="12.75">
      <c r="A54" s="628" t="s">
        <v>538</v>
      </c>
      <c r="B54" s="629" t="s">
        <v>547</v>
      </c>
      <c r="C54" s="630">
        <v>37897</v>
      </c>
      <c r="D54" s="631" t="s">
        <v>245</v>
      </c>
      <c r="E54" s="631"/>
      <c r="F54" s="631">
        <v>3.65</v>
      </c>
      <c r="G54" s="629">
        <v>1.87</v>
      </c>
      <c r="H54" s="631" t="s">
        <v>540</v>
      </c>
      <c r="I54" s="629" t="s">
        <v>548</v>
      </c>
      <c r="J54" s="629" t="s">
        <v>542</v>
      </c>
      <c r="K54" s="357"/>
    </row>
    <row r="55" spans="1:11" ht="12.75">
      <c r="A55" s="628" t="s">
        <v>538</v>
      </c>
      <c r="B55" s="629" t="s">
        <v>549</v>
      </c>
      <c r="C55" s="630">
        <v>37897</v>
      </c>
      <c r="D55" s="631" t="s">
        <v>245</v>
      </c>
      <c r="E55" s="631"/>
      <c r="F55" s="631">
        <v>3.65</v>
      </c>
      <c r="G55" s="629">
        <v>2.71</v>
      </c>
      <c r="H55" s="631" t="s">
        <v>540</v>
      </c>
      <c r="I55" s="629" t="s">
        <v>550</v>
      </c>
      <c r="J55" s="629" t="s">
        <v>542</v>
      </c>
      <c r="K55" s="357"/>
    </row>
    <row r="56" spans="1:11" ht="12.75">
      <c r="A56" s="628" t="s">
        <v>538</v>
      </c>
      <c r="B56" s="629" t="s">
        <v>551</v>
      </c>
      <c r="C56" s="630">
        <v>37897</v>
      </c>
      <c r="D56" s="631" t="s">
        <v>245</v>
      </c>
      <c r="E56" s="631"/>
      <c r="F56" s="631">
        <v>4.03</v>
      </c>
      <c r="G56" s="629">
        <v>3.05</v>
      </c>
      <c r="H56" s="631" t="s">
        <v>540</v>
      </c>
      <c r="I56" s="629" t="s">
        <v>552</v>
      </c>
      <c r="J56" s="629" t="s">
        <v>542</v>
      </c>
      <c r="K56" s="357"/>
    </row>
    <row r="57" spans="1:11" ht="12.75">
      <c r="A57" s="628" t="s">
        <v>538</v>
      </c>
      <c r="B57" s="629" t="s">
        <v>553</v>
      </c>
      <c r="C57" s="630">
        <v>37897</v>
      </c>
      <c r="D57" s="631" t="s">
        <v>322</v>
      </c>
      <c r="E57" s="631">
        <v>14.8</v>
      </c>
      <c r="F57" s="631"/>
      <c r="G57" s="629">
        <v>6.96</v>
      </c>
      <c r="H57" s="631" t="s">
        <v>540</v>
      </c>
      <c r="I57" s="629" t="s">
        <v>555</v>
      </c>
      <c r="J57" s="629" t="s">
        <v>542</v>
      </c>
      <c r="K57" s="357"/>
    </row>
    <row r="58" spans="1:11" ht="12.75">
      <c r="A58" s="628" t="s">
        <v>538</v>
      </c>
      <c r="B58" s="629" t="s">
        <v>556</v>
      </c>
      <c r="C58" s="630">
        <v>37897</v>
      </c>
      <c r="D58" s="631" t="s">
        <v>245</v>
      </c>
      <c r="E58" s="631"/>
      <c r="F58" s="631">
        <v>1.69</v>
      </c>
      <c r="G58" s="629">
        <v>1.03</v>
      </c>
      <c r="H58" s="631" t="s">
        <v>540</v>
      </c>
      <c r="I58" s="629" t="s">
        <v>557</v>
      </c>
      <c r="J58" s="629" t="s">
        <v>542</v>
      </c>
      <c r="K58" s="357"/>
    </row>
    <row r="59" spans="1:11" ht="12.75">
      <c r="A59" s="628" t="s">
        <v>538</v>
      </c>
      <c r="B59" s="629" t="s">
        <v>558</v>
      </c>
      <c r="C59" s="630">
        <v>37897</v>
      </c>
      <c r="D59" s="631" t="s">
        <v>245</v>
      </c>
      <c r="E59" s="631"/>
      <c r="F59" s="631">
        <v>3.13</v>
      </c>
      <c r="G59" s="629">
        <v>2.25</v>
      </c>
      <c r="H59" s="631" t="s">
        <v>540</v>
      </c>
      <c r="I59" s="629" t="s">
        <v>559</v>
      </c>
      <c r="J59" s="629" t="s">
        <v>542</v>
      </c>
      <c r="K59" s="357"/>
    </row>
    <row r="60" spans="1:11" ht="12.75">
      <c r="A60" s="628" t="s">
        <v>538</v>
      </c>
      <c r="B60" s="629" t="s">
        <v>560</v>
      </c>
      <c r="C60" s="630">
        <v>37897</v>
      </c>
      <c r="D60" s="631" t="s">
        <v>245</v>
      </c>
      <c r="E60" s="631"/>
      <c r="F60" s="631">
        <v>2.99</v>
      </c>
      <c r="G60" s="629">
        <v>2.38</v>
      </c>
      <c r="H60" s="631" t="s">
        <v>540</v>
      </c>
      <c r="I60" s="629" t="s">
        <v>561</v>
      </c>
      <c r="J60" s="629" t="s">
        <v>542</v>
      </c>
      <c r="K60" s="357"/>
    </row>
    <row r="61" spans="1:11" ht="12.75">
      <c r="A61" s="628" t="s">
        <v>538</v>
      </c>
      <c r="B61" s="629" t="s">
        <v>562</v>
      </c>
      <c r="C61" s="630">
        <v>37897</v>
      </c>
      <c r="D61" s="631" t="s">
        <v>245</v>
      </c>
      <c r="E61" s="631"/>
      <c r="F61" s="631">
        <v>2.26</v>
      </c>
      <c r="G61" s="629">
        <v>2.38</v>
      </c>
      <c r="H61" s="631" t="s">
        <v>540</v>
      </c>
      <c r="I61" s="629" t="s">
        <v>563</v>
      </c>
      <c r="J61" s="629" t="s">
        <v>542</v>
      </c>
      <c r="K61" s="357"/>
    </row>
    <row r="62" spans="1:11" ht="12.75">
      <c r="A62" s="628" t="s">
        <v>538</v>
      </c>
      <c r="B62" s="629" t="s">
        <v>564</v>
      </c>
      <c r="C62" s="630">
        <v>37897</v>
      </c>
      <c r="D62" s="631" t="s">
        <v>245</v>
      </c>
      <c r="E62" s="631"/>
      <c r="F62" s="631">
        <v>1.43</v>
      </c>
      <c r="G62" s="629">
        <v>2.44</v>
      </c>
      <c r="H62" s="631" t="s">
        <v>540</v>
      </c>
      <c r="I62" s="629" t="s">
        <v>565</v>
      </c>
      <c r="J62" s="629" t="s">
        <v>542</v>
      </c>
      <c r="K62" s="357"/>
    </row>
    <row r="63" spans="1:11" ht="12.75">
      <c r="A63" s="628" t="s">
        <v>538</v>
      </c>
      <c r="B63" s="629" t="s">
        <v>566</v>
      </c>
      <c r="C63" s="630">
        <v>37897</v>
      </c>
      <c r="D63" s="631" t="s">
        <v>245</v>
      </c>
      <c r="E63" s="631"/>
      <c r="F63" s="631">
        <v>1.82</v>
      </c>
      <c r="G63" s="629">
        <v>3.06</v>
      </c>
      <c r="H63" s="631" t="s">
        <v>540</v>
      </c>
      <c r="I63" s="629" t="s">
        <v>567</v>
      </c>
      <c r="J63" s="629" t="s">
        <v>542</v>
      </c>
      <c r="K63" s="357"/>
    </row>
    <row r="64" spans="1:11" ht="12.75">
      <c r="A64" s="628" t="s">
        <v>538</v>
      </c>
      <c r="B64" s="629" t="s">
        <v>568</v>
      </c>
      <c r="C64" s="630">
        <v>37897</v>
      </c>
      <c r="D64" s="631" t="s">
        <v>245</v>
      </c>
      <c r="E64" s="631"/>
      <c r="F64" s="631">
        <v>2.22</v>
      </c>
      <c r="G64" s="629">
        <v>2.31</v>
      </c>
      <c r="H64" s="631" t="s">
        <v>540</v>
      </c>
      <c r="I64" s="629" t="s">
        <v>569</v>
      </c>
      <c r="J64" s="629" t="s">
        <v>542</v>
      </c>
      <c r="K64" s="357"/>
    </row>
    <row r="65" spans="1:11" ht="12.75">
      <c r="A65" s="628" t="s">
        <v>538</v>
      </c>
      <c r="B65" s="629" t="s">
        <v>570</v>
      </c>
      <c r="C65" s="630">
        <v>37897</v>
      </c>
      <c r="D65" s="631" t="s">
        <v>245</v>
      </c>
      <c r="E65" s="631"/>
      <c r="F65" s="631">
        <v>1.67</v>
      </c>
      <c r="G65" s="629">
        <v>3.57</v>
      </c>
      <c r="H65" s="631" t="s">
        <v>540</v>
      </c>
      <c r="I65" s="629" t="s">
        <v>571</v>
      </c>
      <c r="J65" s="629" t="s">
        <v>542</v>
      </c>
      <c r="K65" s="357"/>
    </row>
    <row r="66" spans="1:11" ht="12.75">
      <c r="A66" s="628" t="s">
        <v>538</v>
      </c>
      <c r="B66" s="629" t="s">
        <v>572</v>
      </c>
      <c r="C66" s="630">
        <v>37897</v>
      </c>
      <c r="D66" s="631" t="s">
        <v>245</v>
      </c>
      <c r="E66" s="631"/>
      <c r="F66" s="631">
        <v>2.49</v>
      </c>
      <c r="G66" s="629">
        <v>3.13</v>
      </c>
      <c r="H66" s="631" t="s">
        <v>540</v>
      </c>
      <c r="I66" s="629" t="s">
        <v>573</v>
      </c>
      <c r="J66" s="629" t="s">
        <v>542</v>
      </c>
      <c r="K66" s="357"/>
    </row>
    <row r="67" spans="1:11" ht="12.75">
      <c r="A67" s="628" t="s">
        <v>538</v>
      </c>
      <c r="B67" s="629" t="s">
        <v>574</v>
      </c>
      <c r="C67" s="630">
        <v>37897</v>
      </c>
      <c r="D67" s="631" t="s">
        <v>245</v>
      </c>
      <c r="E67" s="631"/>
      <c r="F67" s="631">
        <v>10.6</v>
      </c>
      <c r="G67" s="629">
        <v>6.17</v>
      </c>
      <c r="H67" s="631" t="s">
        <v>540</v>
      </c>
      <c r="I67" s="629" t="s">
        <v>575</v>
      </c>
      <c r="J67" s="629" t="s">
        <v>542</v>
      </c>
      <c r="K67" s="357"/>
    </row>
    <row r="68" spans="1:11" ht="12.75">
      <c r="A68" s="632" t="s">
        <v>576</v>
      </c>
      <c r="B68" s="635"/>
      <c r="C68" s="633"/>
      <c r="D68" s="634"/>
      <c r="E68" s="634"/>
      <c r="F68" s="634"/>
      <c r="G68" s="635"/>
      <c r="H68" s="634"/>
      <c r="I68" s="635"/>
      <c r="J68" s="635"/>
      <c r="K68" s="357"/>
    </row>
    <row r="69" spans="1:11" ht="12.75">
      <c r="A69" s="632" t="s">
        <v>577</v>
      </c>
      <c r="B69" s="635"/>
      <c r="C69" s="633"/>
      <c r="D69" s="634"/>
      <c r="E69" s="634"/>
      <c r="F69" s="634"/>
      <c r="G69" s="635"/>
      <c r="H69" s="634"/>
      <c r="I69" s="635"/>
      <c r="J69" s="635"/>
      <c r="K69" s="357"/>
    </row>
    <row r="70" spans="1:11" ht="12.75">
      <c r="A70" s="632" t="s">
        <v>578</v>
      </c>
      <c r="B70" s="635"/>
      <c r="C70" s="633"/>
      <c r="D70" s="634"/>
      <c r="E70" s="634"/>
      <c r="F70" s="634"/>
      <c r="G70" s="635"/>
      <c r="H70" s="634"/>
      <c r="I70" s="635"/>
      <c r="J70" s="635"/>
      <c r="K70" s="357"/>
    </row>
    <row r="71" spans="1:11" ht="12.75">
      <c r="A71" s="632"/>
      <c r="B71" s="635"/>
      <c r="C71" s="633"/>
      <c r="D71" s="634"/>
      <c r="E71" s="634"/>
      <c r="F71" s="634"/>
      <c r="G71" s="635"/>
      <c r="H71" s="634"/>
      <c r="I71" s="635"/>
      <c r="J71" s="635"/>
      <c r="K71" s="357"/>
    </row>
    <row r="72" spans="1:11" ht="21">
      <c r="A72" s="625" t="s">
        <v>530</v>
      </c>
      <c r="B72" s="625" t="s">
        <v>315</v>
      </c>
      <c r="C72" s="626" t="s">
        <v>531</v>
      </c>
      <c r="D72" s="627" t="s">
        <v>532</v>
      </c>
      <c r="E72" s="627" t="s">
        <v>581</v>
      </c>
      <c r="F72" s="627" t="s">
        <v>582</v>
      </c>
      <c r="G72" s="627" t="s">
        <v>264</v>
      </c>
      <c r="H72" s="627" t="s">
        <v>316</v>
      </c>
      <c r="I72" s="625" t="s">
        <v>536</v>
      </c>
      <c r="J72" s="625" t="s">
        <v>537</v>
      </c>
      <c r="K72" s="357"/>
    </row>
    <row r="73" spans="1:11" ht="12.75">
      <c r="A73" s="628" t="s">
        <v>538</v>
      </c>
      <c r="B73" s="629" t="s">
        <v>539</v>
      </c>
      <c r="C73" s="630">
        <v>38113</v>
      </c>
      <c r="D73" s="631" t="s">
        <v>245</v>
      </c>
      <c r="E73" s="631"/>
      <c r="F73" s="631">
        <v>0.501</v>
      </c>
      <c r="G73" s="629"/>
      <c r="H73" s="631" t="s">
        <v>540</v>
      </c>
      <c r="I73" s="629" t="s">
        <v>541</v>
      </c>
      <c r="J73" s="629" t="s">
        <v>542</v>
      </c>
      <c r="K73" s="357"/>
    </row>
    <row r="74" spans="1:11" ht="12.75">
      <c r="A74" s="628" t="s">
        <v>538</v>
      </c>
      <c r="B74" s="629" t="s">
        <v>543</v>
      </c>
      <c r="C74" s="630">
        <v>38113</v>
      </c>
      <c r="D74" s="631" t="s">
        <v>245</v>
      </c>
      <c r="E74" s="631"/>
      <c r="F74" s="631">
        <v>0.63</v>
      </c>
      <c r="G74" s="629"/>
      <c r="H74" s="631" t="s">
        <v>540</v>
      </c>
      <c r="I74" s="629" t="s">
        <v>544</v>
      </c>
      <c r="J74" s="629" t="s">
        <v>542</v>
      </c>
      <c r="K74" s="357"/>
    </row>
    <row r="75" spans="1:11" ht="12.75">
      <c r="A75" s="628" t="s">
        <v>538</v>
      </c>
      <c r="B75" s="629" t="s">
        <v>545</v>
      </c>
      <c r="C75" s="630">
        <v>38113</v>
      </c>
      <c r="D75" s="631" t="s">
        <v>245</v>
      </c>
      <c r="E75" s="631"/>
      <c r="F75" s="631">
        <v>1.09</v>
      </c>
      <c r="G75" s="629"/>
      <c r="H75" s="631" t="s">
        <v>540</v>
      </c>
      <c r="I75" s="629" t="s">
        <v>546</v>
      </c>
      <c r="J75" s="629" t="s">
        <v>542</v>
      </c>
      <c r="K75" s="357"/>
    </row>
    <row r="76" spans="1:11" ht="12.75">
      <c r="A76" s="628" t="s">
        <v>538</v>
      </c>
      <c r="B76" s="629" t="s">
        <v>547</v>
      </c>
      <c r="C76" s="630">
        <v>38113</v>
      </c>
      <c r="D76" s="631" t="s">
        <v>245</v>
      </c>
      <c r="E76" s="631"/>
      <c r="F76" s="631">
        <v>1.13</v>
      </c>
      <c r="G76" s="629"/>
      <c r="H76" s="631" t="s">
        <v>540</v>
      </c>
      <c r="I76" s="629" t="s">
        <v>548</v>
      </c>
      <c r="J76" s="629" t="s">
        <v>542</v>
      </c>
      <c r="K76" s="357"/>
    </row>
    <row r="77" spans="1:11" ht="12.75">
      <c r="A77" s="628" t="s">
        <v>538</v>
      </c>
      <c r="B77" s="629" t="s">
        <v>549</v>
      </c>
      <c r="C77" s="630">
        <v>38113</v>
      </c>
      <c r="D77" s="631" t="s">
        <v>245</v>
      </c>
      <c r="E77" s="631"/>
      <c r="F77" s="631">
        <v>0.717</v>
      </c>
      <c r="G77" s="629"/>
      <c r="H77" s="631" t="s">
        <v>540</v>
      </c>
      <c r="I77" s="629" t="s">
        <v>550</v>
      </c>
      <c r="J77" s="629" t="s">
        <v>542</v>
      </c>
      <c r="K77" s="357"/>
    </row>
    <row r="78" spans="1:11" ht="12.75">
      <c r="A78" s="628" t="s">
        <v>538</v>
      </c>
      <c r="B78" s="629" t="s">
        <v>551</v>
      </c>
      <c r="C78" s="630">
        <v>38113</v>
      </c>
      <c r="D78" s="631" t="s">
        <v>245</v>
      </c>
      <c r="E78" s="631"/>
      <c r="F78" s="631">
        <v>3.05</v>
      </c>
      <c r="G78" s="629"/>
      <c r="H78" s="631" t="s">
        <v>540</v>
      </c>
      <c r="I78" s="629" t="s">
        <v>552</v>
      </c>
      <c r="J78" s="629" t="s">
        <v>542</v>
      </c>
      <c r="K78" s="357"/>
    </row>
    <row r="79" spans="1:11" ht="12.75">
      <c r="A79" s="628" t="s">
        <v>538</v>
      </c>
      <c r="B79" s="629" t="s">
        <v>553</v>
      </c>
      <c r="C79" s="630">
        <v>38113</v>
      </c>
      <c r="D79" s="631" t="s">
        <v>322</v>
      </c>
      <c r="E79" s="631">
        <v>8.69</v>
      </c>
      <c r="F79" s="631"/>
      <c r="G79" s="629"/>
      <c r="H79" s="631" t="s">
        <v>540</v>
      </c>
      <c r="I79" s="629" t="s">
        <v>555</v>
      </c>
      <c r="J79" s="629" t="s">
        <v>542</v>
      </c>
      <c r="K79" s="357"/>
    </row>
    <row r="80" spans="1:11" ht="12.75">
      <c r="A80" s="628" t="s">
        <v>538</v>
      </c>
      <c r="B80" s="629" t="s">
        <v>556</v>
      </c>
      <c r="C80" s="630">
        <v>38113</v>
      </c>
      <c r="D80" s="631" t="s">
        <v>245</v>
      </c>
      <c r="E80" s="631"/>
      <c r="F80" s="631">
        <v>0.215</v>
      </c>
      <c r="G80" s="629"/>
      <c r="H80" s="631" t="s">
        <v>540</v>
      </c>
      <c r="I80" s="629" t="s">
        <v>557</v>
      </c>
      <c r="J80" s="629" t="s">
        <v>542</v>
      </c>
      <c r="K80" s="357"/>
    </row>
    <row r="81" spans="1:11" ht="12.75">
      <c r="A81" s="628" t="s">
        <v>538</v>
      </c>
      <c r="B81" s="629" t="s">
        <v>558</v>
      </c>
      <c r="C81" s="630">
        <v>38113</v>
      </c>
      <c r="D81" s="631" t="s">
        <v>245</v>
      </c>
      <c r="E81" s="631"/>
      <c r="F81" s="631">
        <v>0.643</v>
      </c>
      <c r="G81" s="629"/>
      <c r="H81" s="631" t="s">
        <v>540</v>
      </c>
      <c r="I81" s="629" t="s">
        <v>559</v>
      </c>
      <c r="J81" s="629" t="s">
        <v>542</v>
      </c>
      <c r="K81" s="357"/>
    </row>
    <row r="82" spans="1:11" ht="12.75">
      <c r="A82" s="628" t="s">
        <v>538</v>
      </c>
      <c r="B82" s="629" t="s">
        <v>560</v>
      </c>
      <c r="C82" s="630">
        <v>38113</v>
      </c>
      <c r="D82" s="631" t="s">
        <v>245</v>
      </c>
      <c r="E82" s="631"/>
      <c r="F82" s="631">
        <v>0.58</v>
      </c>
      <c r="G82" s="629"/>
      <c r="H82" s="631" t="s">
        <v>540</v>
      </c>
      <c r="I82" s="629" t="s">
        <v>561</v>
      </c>
      <c r="J82" s="629" t="s">
        <v>542</v>
      </c>
      <c r="K82" s="357"/>
    </row>
    <row r="83" spans="1:11" ht="12.75">
      <c r="A83" s="628" t="s">
        <v>538</v>
      </c>
      <c r="B83" s="629" t="s">
        <v>562</v>
      </c>
      <c r="C83" s="630">
        <v>38113</v>
      </c>
      <c r="D83" s="631" t="s">
        <v>245</v>
      </c>
      <c r="E83" s="631"/>
      <c r="F83" s="631" t="s">
        <v>583</v>
      </c>
      <c r="G83" s="629"/>
      <c r="H83" s="631" t="s">
        <v>540</v>
      </c>
      <c r="I83" s="629" t="s">
        <v>563</v>
      </c>
      <c r="J83" s="629" t="s">
        <v>542</v>
      </c>
      <c r="K83" s="357"/>
    </row>
    <row r="84" spans="1:11" ht="12.75">
      <c r="A84" s="628" t="s">
        <v>538</v>
      </c>
      <c r="B84" s="629" t="s">
        <v>564</v>
      </c>
      <c r="C84" s="630">
        <v>38113</v>
      </c>
      <c r="D84" s="631" t="s">
        <v>245</v>
      </c>
      <c r="E84" s="631"/>
      <c r="F84" s="631">
        <v>0.192</v>
      </c>
      <c r="G84" s="629"/>
      <c r="H84" s="631" t="s">
        <v>540</v>
      </c>
      <c r="I84" s="629" t="s">
        <v>565</v>
      </c>
      <c r="J84" s="629" t="s">
        <v>542</v>
      </c>
      <c r="K84" s="357"/>
    </row>
    <row r="85" spans="1:11" ht="12.75">
      <c r="A85" s="628" t="s">
        <v>538</v>
      </c>
      <c r="B85" s="629" t="s">
        <v>566</v>
      </c>
      <c r="C85" s="630">
        <v>38113</v>
      </c>
      <c r="D85" s="631" t="s">
        <v>245</v>
      </c>
      <c r="E85" s="631"/>
      <c r="F85" s="631">
        <v>0.228</v>
      </c>
      <c r="G85" s="629"/>
      <c r="H85" s="631" t="s">
        <v>540</v>
      </c>
      <c r="I85" s="629" t="s">
        <v>567</v>
      </c>
      <c r="J85" s="629" t="s">
        <v>542</v>
      </c>
      <c r="K85" s="357"/>
    </row>
    <row r="86" spans="1:11" ht="12.75">
      <c r="A86" s="628" t="s">
        <v>538</v>
      </c>
      <c r="B86" s="629" t="s">
        <v>568</v>
      </c>
      <c r="C86" s="630">
        <v>38113</v>
      </c>
      <c r="D86" s="631" t="s">
        <v>245</v>
      </c>
      <c r="E86" s="631"/>
      <c r="F86" s="631">
        <v>0.297</v>
      </c>
      <c r="G86" s="629"/>
      <c r="H86" s="631" t="s">
        <v>540</v>
      </c>
      <c r="I86" s="629" t="s">
        <v>569</v>
      </c>
      <c r="J86" s="629" t="s">
        <v>542</v>
      </c>
      <c r="K86" s="357"/>
    </row>
    <row r="87" spans="1:11" ht="12.75">
      <c r="A87" s="628" t="s">
        <v>538</v>
      </c>
      <c r="B87" s="629" t="s">
        <v>570</v>
      </c>
      <c r="C87" s="630">
        <v>38113</v>
      </c>
      <c r="D87" s="631" t="s">
        <v>245</v>
      </c>
      <c r="E87" s="631"/>
      <c r="F87" s="631">
        <v>0.771</v>
      </c>
      <c r="G87" s="629"/>
      <c r="H87" s="631" t="s">
        <v>540</v>
      </c>
      <c r="I87" s="629" t="s">
        <v>571</v>
      </c>
      <c r="J87" s="629" t="s">
        <v>542</v>
      </c>
      <c r="K87" s="357"/>
    </row>
    <row r="88" spans="1:11" ht="12.75">
      <c r="A88" s="628" t="s">
        <v>538</v>
      </c>
      <c r="B88" s="629" t="s">
        <v>572</v>
      </c>
      <c r="C88" s="630">
        <v>38113</v>
      </c>
      <c r="D88" s="631" t="s">
        <v>245</v>
      </c>
      <c r="E88" s="631"/>
      <c r="F88" s="631">
        <v>0.302</v>
      </c>
      <c r="G88" s="629"/>
      <c r="H88" s="631" t="s">
        <v>540</v>
      </c>
      <c r="I88" s="629" t="s">
        <v>573</v>
      </c>
      <c r="J88" s="629" t="s">
        <v>542</v>
      </c>
      <c r="K88" s="357"/>
    </row>
    <row r="89" spans="1:11" ht="12.75">
      <c r="A89" s="628" t="s">
        <v>538</v>
      </c>
      <c r="B89" s="629" t="s">
        <v>574</v>
      </c>
      <c r="C89" s="630">
        <v>38113</v>
      </c>
      <c r="D89" s="631" t="s">
        <v>245</v>
      </c>
      <c r="E89" s="631"/>
      <c r="F89" s="631">
        <v>6.17</v>
      </c>
      <c r="G89" s="629"/>
      <c r="H89" s="631" t="s">
        <v>540</v>
      </c>
      <c r="I89" s="629" t="s">
        <v>575</v>
      </c>
      <c r="J89" s="629" t="s">
        <v>542</v>
      </c>
      <c r="K89" s="357"/>
    </row>
    <row r="90" spans="1:11" ht="12.75">
      <c r="A90" s="632" t="s">
        <v>576</v>
      </c>
      <c r="B90" s="635"/>
      <c r="C90" s="633"/>
      <c r="D90" s="634"/>
      <c r="E90" s="634"/>
      <c r="F90" s="634"/>
      <c r="G90" s="635"/>
      <c r="H90" s="634"/>
      <c r="I90" s="635"/>
      <c r="J90" s="635"/>
      <c r="K90" s="357"/>
    </row>
    <row r="91" spans="1:11" ht="12.75">
      <c r="A91" s="632" t="s">
        <v>577</v>
      </c>
      <c r="B91" s="635"/>
      <c r="C91" s="633"/>
      <c r="D91" s="634"/>
      <c r="E91" s="634"/>
      <c r="F91" s="634"/>
      <c r="G91" s="635"/>
      <c r="H91" s="634"/>
      <c r="I91" s="635"/>
      <c r="J91" s="635"/>
      <c r="K91" s="357"/>
    </row>
    <row r="92" spans="1:11" ht="12.75">
      <c r="A92" s="632" t="s">
        <v>578</v>
      </c>
      <c r="B92" s="635"/>
      <c r="C92" s="633"/>
      <c r="D92" s="634"/>
      <c r="E92" s="634"/>
      <c r="F92" s="634"/>
      <c r="G92" s="635"/>
      <c r="H92" s="634"/>
      <c r="I92" s="635"/>
      <c r="J92" s="635"/>
      <c r="K92" s="357"/>
    </row>
    <row r="93" spans="1:11" ht="12.75">
      <c r="A93" s="632"/>
      <c r="B93" s="635" t="s">
        <v>322</v>
      </c>
      <c r="C93" s="633"/>
      <c r="D93" s="634"/>
      <c r="E93" s="634"/>
      <c r="F93" s="634"/>
      <c r="G93" s="635"/>
      <c r="H93" s="634"/>
      <c r="I93" s="635"/>
      <c r="J93" s="635"/>
      <c r="K93" s="357"/>
    </row>
    <row r="95" spans="1:11" ht="21">
      <c r="A95" s="625" t="s">
        <v>530</v>
      </c>
      <c r="B95" s="625" t="s">
        <v>315</v>
      </c>
      <c r="C95" s="626" t="s">
        <v>531</v>
      </c>
      <c r="D95" s="627" t="s">
        <v>532</v>
      </c>
      <c r="E95" s="627" t="s">
        <v>581</v>
      </c>
      <c r="F95" s="627" t="s">
        <v>582</v>
      </c>
      <c r="G95" s="627" t="s">
        <v>264</v>
      </c>
      <c r="H95" s="627" t="s">
        <v>316</v>
      </c>
      <c r="I95" s="625" t="s">
        <v>536</v>
      </c>
      <c r="J95" s="625" t="s">
        <v>537</v>
      </c>
      <c r="K95" s="357"/>
    </row>
    <row r="96" spans="1:11" ht="12.75">
      <c r="A96" s="628" t="s">
        <v>538</v>
      </c>
      <c r="B96" s="629" t="s">
        <v>539</v>
      </c>
      <c r="C96" s="630">
        <v>38352</v>
      </c>
      <c r="D96" s="631" t="s">
        <v>245</v>
      </c>
      <c r="E96" s="631"/>
      <c r="F96" s="631">
        <v>0.946</v>
      </c>
      <c r="G96" s="629">
        <v>0.699</v>
      </c>
      <c r="H96" s="631" t="s">
        <v>540</v>
      </c>
      <c r="I96" s="629" t="s">
        <v>541</v>
      </c>
      <c r="J96" s="629" t="s">
        <v>542</v>
      </c>
      <c r="K96" s="357"/>
    </row>
    <row r="97" spans="1:11" ht="12.75">
      <c r="A97" s="628" t="s">
        <v>538</v>
      </c>
      <c r="B97" s="629" t="s">
        <v>543</v>
      </c>
      <c r="C97" s="630">
        <v>38352</v>
      </c>
      <c r="D97" s="631" t="s">
        <v>245</v>
      </c>
      <c r="E97" s="631"/>
      <c r="F97" s="631">
        <v>2.25</v>
      </c>
      <c r="G97" s="629">
        <v>1.12</v>
      </c>
      <c r="H97" s="631" t="s">
        <v>540</v>
      </c>
      <c r="I97" s="629" t="s">
        <v>544</v>
      </c>
      <c r="J97" s="629" t="s">
        <v>542</v>
      </c>
      <c r="K97" s="357"/>
    </row>
    <row r="98" spans="1:11" ht="12.75">
      <c r="A98" s="628" t="s">
        <v>538</v>
      </c>
      <c r="B98" s="629" t="s">
        <v>545</v>
      </c>
      <c r="C98" s="630">
        <v>38352</v>
      </c>
      <c r="D98" s="631" t="s">
        <v>245</v>
      </c>
      <c r="E98" s="631"/>
      <c r="F98" s="631">
        <v>1.53</v>
      </c>
      <c r="G98" s="629">
        <v>0.727</v>
      </c>
      <c r="H98" s="631" t="s">
        <v>540</v>
      </c>
      <c r="I98" s="629" t="s">
        <v>546</v>
      </c>
      <c r="J98" s="629" t="s">
        <v>542</v>
      </c>
      <c r="K98" s="357"/>
    </row>
    <row r="99" spans="1:11" ht="12.75">
      <c r="A99" s="628" t="s">
        <v>538</v>
      </c>
      <c r="B99" s="629" t="s">
        <v>547</v>
      </c>
      <c r="C99" s="630">
        <v>38352</v>
      </c>
      <c r="D99" s="631" t="s">
        <v>245</v>
      </c>
      <c r="E99" s="631"/>
      <c r="F99" s="631">
        <v>1.48</v>
      </c>
      <c r="G99" s="629">
        <v>0.729</v>
      </c>
      <c r="H99" s="631" t="s">
        <v>540</v>
      </c>
      <c r="I99" s="629" t="s">
        <v>548</v>
      </c>
      <c r="J99" s="629" t="s">
        <v>542</v>
      </c>
      <c r="K99" s="357"/>
    </row>
    <row r="100" spans="1:11" ht="12.75">
      <c r="A100" s="628" t="s">
        <v>538</v>
      </c>
      <c r="B100" s="629" t="s">
        <v>549</v>
      </c>
      <c r="C100" s="630">
        <v>38352</v>
      </c>
      <c r="D100" s="631" t="s">
        <v>245</v>
      </c>
      <c r="E100" s="631"/>
      <c r="F100" s="631">
        <v>1.5</v>
      </c>
      <c r="G100" s="629">
        <v>2.22</v>
      </c>
      <c r="H100" s="631" t="s">
        <v>540</v>
      </c>
      <c r="I100" s="629" t="s">
        <v>550</v>
      </c>
      <c r="J100" s="629" t="s">
        <v>542</v>
      </c>
      <c r="K100" s="357"/>
    </row>
    <row r="101" spans="1:11" ht="12.75">
      <c r="A101" s="628" t="s">
        <v>538</v>
      </c>
      <c r="B101" s="629" t="s">
        <v>551</v>
      </c>
      <c r="C101" s="630">
        <v>38352</v>
      </c>
      <c r="D101" s="631"/>
      <c r="E101" s="631">
        <v>4.05</v>
      </c>
      <c r="F101" s="631"/>
      <c r="G101" s="629">
        <v>0.826</v>
      </c>
      <c r="H101" s="631" t="s">
        <v>540</v>
      </c>
      <c r="I101" s="629" t="s">
        <v>552</v>
      </c>
      <c r="J101" s="629" t="s">
        <v>542</v>
      </c>
      <c r="K101" s="357"/>
    </row>
    <row r="102" spans="1:11" ht="12.75">
      <c r="A102" s="628" t="s">
        <v>538</v>
      </c>
      <c r="B102" s="629" t="s">
        <v>553</v>
      </c>
      <c r="C102" s="630">
        <v>38352</v>
      </c>
      <c r="D102" s="631"/>
      <c r="E102" s="631">
        <v>8.69</v>
      </c>
      <c r="F102" s="631"/>
      <c r="G102" s="629">
        <v>2.43</v>
      </c>
      <c r="H102" s="631" t="s">
        <v>540</v>
      </c>
      <c r="I102" s="629" t="s">
        <v>555</v>
      </c>
      <c r="J102" s="629" t="s">
        <v>542</v>
      </c>
      <c r="K102" s="357"/>
    </row>
    <row r="103" spans="1:11" ht="12.75">
      <c r="A103" s="628" t="s">
        <v>538</v>
      </c>
      <c r="B103" s="629" t="s">
        <v>556</v>
      </c>
      <c r="C103" s="630">
        <v>38352</v>
      </c>
      <c r="D103" s="631" t="s">
        <v>245</v>
      </c>
      <c r="E103" s="631"/>
      <c r="F103" s="631">
        <v>0.894</v>
      </c>
      <c r="G103" s="629">
        <v>0.486</v>
      </c>
      <c r="H103" s="631" t="s">
        <v>540</v>
      </c>
      <c r="I103" s="629" t="s">
        <v>557</v>
      </c>
      <c r="J103" s="629" t="s">
        <v>542</v>
      </c>
      <c r="K103" s="357"/>
    </row>
    <row r="104" spans="1:11" ht="12.75">
      <c r="A104" s="628" t="s">
        <v>538</v>
      </c>
      <c r="B104" s="629" t="s">
        <v>558</v>
      </c>
      <c r="C104" s="630">
        <v>38352</v>
      </c>
      <c r="D104" s="631" t="s">
        <v>245</v>
      </c>
      <c r="E104" s="631"/>
      <c r="F104" s="631">
        <v>1.57</v>
      </c>
      <c r="G104" s="629">
        <v>1.26</v>
      </c>
      <c r="H104" s="631" t="s">
        <v>540</v>
      </c>
      <c r="I104" s="629" t="s">
        <v>559</v>
      </c>
      <c r="J104" s="629" t="s">
        <v>542</v>
      </c>
      <c r="K104" s="357"/>
    </row>
    <row r="105" spans="1:11" ht="12.75">
      <c r="A105" s="628" t="s">
        <v>538</v>
      </c>
      <c r="B105" s="629" t="s">
        <v>560</v>
      </c>
      <c r="C105" s="630">
        <v>38352</v>
      </c>
      <c r="D105" s="631" t="s">
        <v>245</v>
      </c>
      <c r="E105" s="631"/>
      <c r="F105" s="631">
        <v>1.39</v>
      </c>
      <c r="G105" s="629">
        <v>0.707</v>
      </c>
      <c r="H105" s="631" t="s">
        <v>540</v>
      </c>
      <c r="I105" s="629" t="s">
        <v>561</v>
      </c>
      <c r="J105" s="629" t="s">
        <v>542</v>
      </c>
      <c r="K105" s="357"/>
    </row>
    <row r="106" spans="1:11" ht="12.75">
      <c r="A106" s="628" t="s">
        <v>538</v>
      </c>
      <c r="B106" s="629" t="s">
        <v>562</v>
      </c>
      <c r="C106" s="630">
        <v>38352</v>
      </c>
      <c r="D106" s="631" t="s">
        <v>245</v>
      </c>
      <c r="E106" s="631"/>
      <c r="F106" s="631">
        <v>0.73</v>
      </c>
      <c r="G106" s="629">
        <v>0.932</v>
      </c>
      <c r="H106" s="631" t="s">
        <v>540</v>
      </c>
      <c r="I106" s="629" t="s">
        <v>563</v>
      </c>
      <c r="J106" s="629" t="s">
        <v>542</v>
      </c>
      <c r="K106" s="357"/>
    </row>
    <row r="107" spans="1:11" ht="12.75">
      <c r="A107" s="628" t="s">
        <v>538</v>
      </c>
      <c r="B107" s="629" t="s">
        <v>564</v>
      </c>
      <c r="C107" s="630">
        <v>38352</v>
      </c>
      <c r="D107" s="631" t="s">
        <v>245</v>
      </c>
      <c r="E107" s="631"/>
      <c r="F107" s="631">
        <v>0.705</v>
      </c>
      <c r="G107" s="629">
        <v>0.937</v>
      </c>
      <c r="H107" s="631" t="s">
        <v>540</v>
      </c>
      <c r="I107" s="629" t="s">
        <v>565</v>
      </c>
      <c r="J107" s="629" t="s">
        <v>542</v>
      </c>
      <c r="K107" s="357"/>
    </row>
    <row r="108" spans="1:11" ht="12.75">
      <c r="A108" s="628" t="s">
        <v>538</v>
      </c>
      <c r="B108" s="629" t="s">
        <v>566</v>
      </c>
      <c r="C108" s="630">
        <v>38352</v>
      </c>
      <c r="D108" s="631" t="s">
        <v>245</v>
      </c>
      <c r="E108" s="631"/>
      <c r="F108" s="631">
        <v>0.806</v>
      </c>
      <c r="G108" s="629">
        <v>0.932</v>
      </c>
      <c r="H108" s="631" t="s">
        <v>540</v>
      </c>
      <c r="I108" s="629" t="s">
        <v>567</v>
      </c>
      <c r="J108" s="629" t="s">
        <v>542</v>
      </c>
      <c r="K108" s="357"/>
    </row>
    <row r="109" spans="1:11" ht="12.75">
      <c r="A109" s="628" t="s">
        <v>538</v>
      </c>
      <c r="B109" s="629" t="s">
        <v>568</v>
      </c>
      <c r="C109" s="630">
        <v>38352</v>
      </c>
      <c r="D109" s="631" t="s">
        <v>245</v>
      </c>
      <c r="E109" s="631"/>
      <c r="F109" s="631">
        <v>1.33</v>
      </c>
      <c r="G109" s="629">
        <v>1.65</v>
      </c>
      <c r="H109" s="631" t="s">
        <v>540</v>
      </c>
      <c r="I109" s="629" t="s">
        <v>569</v>
      </c>
      <c r="J109" s="629" t="s">
        <v>542</v>
      </c>
      <c r="K109" s="357"/>
    </row>
    <row r="110" spans="1:11" ht="12.75">
      <c r="A110" s="628" t="s">
        <v>538</v>
      </c>
      <c r="B110" s="629" t="s">
        <v>570</v>
      </c>
      <c r="C110" s="630">
        <v>38352</v>
      </c>
      <c r="D110" s="631" t="s">
        <v>245</v>
      </c>
      <c r="E110" s="631"/>
      <c r="F110" s="631">
        <v>0.828</v>
      </c>
      <c r="G110" s="629">
        <v>1.21</v>
      </c>
      <c r="H110" s="631" t="s">
        <v>540</v>
      </c>
      <c r="I110" s="629" t="s">
        <v>571</v>
      </c>
      <c r="J110" s="629" t="s">
        <v>542</v>
      </c>
      <c r="K110" s="357"/>
    </row>
    <row r="111" spans="1:11" ht="12.75">
      <c r="A111" s="628" t="s">
        <v>538</v>
      </c>
      <c r="B111" s="629" t="s">
        <v>572</v>
      </c>
      <c r="C111" s="630">
        <v>38352</v>
      </c>
      <c r="D111" s="631" t="s">
        <v>245</v>
      </c>
      <c r="E111" s="631"/>
      <c r="F111" s="631">
        <v>1.14</v>
      </c>
      <c r="G111" s="629">
        <v>1.52</v>
      </c>
      <c r="H111" s="631" t="s">
        <v>540</v>
      </c>
      <c r="I111" s="629" t="s">
        <v>573</v>
      </c>
      <c r="J111" s="629" t="s">
        <v>542</v>
      </c>
      <c r="K111" s="357"/>
    </row>
    <row r="112" spans="1:11" ht="12.75">
      <c r="A112" s="628" t="s">
        <v>538</v>
      </c>
      <c r="B112" s="629" t="s">
        <v>574</v>
      </c>
      <c r="C112" s="630">
        <v>38352</v>
      </c>
      <c r="D112" s="631" t="s">
        <v>245</v>
      </c>
      <c r="E112" s="631">
        <v>3.57</v>
      </c>
      <c r="F112" s="631"/>
      <c r="G112" s="629">
        <v>1.78</v>
      </c>
      <c r="H112" s="631" t="s">
        <v>540</v>
      </c>
      <c r="I112" s="629" t="s">
        <v>575</v>
      </c>
      <c r="J112" s="629" t="s">
        <v>542</v>
      </c>
      <c r="K112" s="357"/>
    </row>
    <row r="113" spans="1:11" ht="12.75">
      <c r="A113" s="632" t="s">
        <v>576</v>
      </c>
      <c r="B113" s="635"/>
      <c r="C113" s="633"/>
      <c r="D113" s="634"/>
      <c r="E113" s="634"/>
      <c r="F113" s="634"/>
      <c r="G113" s="635"/>
      <c r="H113" s="634"/>
      <c r="I113" s="635"/>
      <c r="J113" s="635"/>
      <c r="K113" s="357"/>
    </row>
    <row r="114" spans="1:11" ht="12.75">
      <c r="A114" s="632" t="s">
        <v>577</v>
      </c>
      <c r="B114" s="635"/>
      <c r="C114" s="633"/>
      <c r="D114" s="634"/>
      <c r="E114" s="634"/>
      <c r="F114" s="634"/>
      <c r="G114" s="635"/>
      <c r="H114" s="634" t="s">
        <v>322</v>
      </c>
      <c r="I114" s="635"/>
      <c r="J114" s="635"/>
      <c r="K114" s="357"/>
    </row>
    <row r="115" spans="1:11" ht="12.75">
      <c r="A115" s="632" t="s">
        <v>578</v>
      </c>
      <c r="B115" s="635"/>
      <c r="C115" s="633"/>
      <c r="D115" s="634"/>
      <c r="E115" s="634"/>
      <c r="F115" s="634"/>
      <c r="G115" s="635"/>
      <c r="H115" s="634"/>
      <c r="I115" s="635"/>
      <c r="J115" s="635"/>
      <c r="K115" s="357"/>
    </row>
    <row r="117" spans="1:11" ht="21">
      <c r="A117" s="625" t="s">
        <v>530</v>
      </c>
      <c r="B117" s="625" t="s">
        <v>315</v>
      </c>
      <c r="C117" s="626" t="s">
        <v>531</v>
      </c>
      <c r="D117" s="627" t="s">
        <v>532</v>
      </c>
      <c r="E117" s="627" t="s">
        <v>581</v>
      </c>
      <c r="F117" s="627" t="s">
        <v>582</v>
      </c>
      <c r="G117" s="627" t="s">
        <v>264</v>
      </c>
      <c r="H117" s="627" t="s">
        <v>316</v>
      </c>
      <c r="I117" s="625" t="s">
        <v>536</v>
      </c>
      <c r="J117" s="625" t="s">
        <v>537</v>
      </c>
      <c r="K117" s="357"/>
    </row>
    <row r="118" spans="1:11" ht="12.75">
      <c r="A118" s="628" t="s">
        <v>538</v>
      </c>
      <c r="B118" s="629" t="s">
        <v>539</v>
      </c>
      <c r="C118" s="630">
        <v>38477</v>
      </c>
      <c r="D118" s="631" t="s">
        <v>245</v>
      </c>
      <c r="E118" s="631"/>
      <c r="F118" s="631">
        <v>2.16</v>
      </c>
      <c r="G118" s="629">
        <v>0.699</v>
      </c>
      <c r="H118" s="631" t="s">
        <v>540</v>
      </c>
      <c r="I118" s="629" t="s">
        <v>541</v>
      </c>
      <c r="J118" s="629" t="s">
        <v>542</v>
      </c>
      <c r="K118" s="357"/>
    </row>
    <row r="119" spans="1:11" ht="12.75">
      <c r="A119" s="628" t="s">
        <v>538</v>
      </c>
      <c r="B119" s="629" t="s">
        <v>543</v>
      </c>
      <c r="C119" s="630">
        <v>38477</v>
      </c>
      <c r="D119" s="631" t="s">
        <v>245</v>
      </c>
      <c r="E119" s="631"/>
      <c r="F119" s="631">
        <v>3.46</v>
      </c>
      <c r="G119" s="629">
        <v>1.12</v>
      </c>
      <c r="H119" s="631" t="s">
        <v>540</v>
      </c>
      <c r="I119" s="629" t="s">
        <v>544</v>
      </c>
      <c r="J119" s="629" t="s">
        <v>542</v>
      </c>
      <c r="K119" s="357"/>
    </row>
    <row r="120" spans="1:11" ht="12.75">
      <c r="A120" s="628" t="s">
        <v>538</v>
      </c>
      <c r="B120" s="629" t="s">
        <v>545</v>
      </c>
      <c r="C120" s="630">
        <v>38477</v>
      </c>
      <c r="D120" s="631" t="s">
        <v>245</v>
      </c>
      <c r="E120" s="631"/>
      <c r="F120" s="631">
        <v>2.57</v>
      </c>
      <c r="G120" s="629">
        <v>0.727</v>
      </c>
      <c r="H120" s="631" t="s">
        <v>540</v>
      </c>
      <c r="I120" s="629" t="s">
        <v>546</v>
      </c>
      <c r="J120" s="629" t="s">
        <v>542</v>
      </c>
      <c r="K120" s="357"/>
    </row>
    <row r="121" spans="1:11" ht="12.75">
      <c r="A121" s="628" t="s">
        <v>538</v>
      </c>
      <c r="B121" s="629" t="s">
        <v>547</v>
      </c>
      <c r="C121" s="630">
        <v>38477</v>
      </c>
      <c r="D121" s="631" t="s">
        <v>245</v>
      </c>
      <c r="E121" s="631"/>
      <c r="F121" s="631">
        <v>2.51</v>
      </c>
      <c r="G121" s="629">
        <v>0.729</v>
      </c>
      <c r="H121" s="631" t="s">
        <v>540</v>
      </c>
      <c r="I121" s="629" t="s">
        <v>548</v>
      </c>
      <c r="J121" s="629" t="s">
        <v>542</v>
      </c>
      <c r="K121" s="357"/>
    </row>
    <row r="122" spans="1:11" ht="12.75">
      <c r="A122" s="628" t="s">
        <v>538</v>
      </c>
      <c r="B122" s="629" t="s">
        <v>549</v>
      </c>
      <c r="C122" s="630">
        <v>38477</v>
      </c>
      <c r="D122" s="631" t="s">
        <v>245</v>
      </c>
      <c r="E122" s="631"/>
      <c r="F122" s="631">
        <v>2.4</v>
      </c>
      <c r="G122" s="629">
        <v>2.22</v>
      </c>
      <c r="H122" s="631" t="s">
        <v>540</v>
      </c>
      <c r="I122" s="629" t="s">
        <v>550</v>
      </c>
      <c r="J122" s="629" t="s">
        <v>542</v>
      </c>
      <c r="K122" s="357"/>
    </row>
    <row r="123" spans="1:11" ht="12.75">
      <c r="A123" s="628" t="s">
        <v>538</v>
      </c>
      <c r="B123" s="629" t="s">
        <v>551</v>
      </c>
      <c r="C123" s="630">
        <v>38477</v>
      </c>
      <c r="D123" s="631" t="s">
        <v>245</v>
      </c>
      <c r="E123" s="631"/>
      <c r="F123" s="631">
        <v>2.25</v>
      </c>
      <c r="G123" s="629">
        <v>0.826</v>
      </c>
      <c r="H123" s="631" t="s">
        <v>540</v>
      </c>
      <c r="I123" s="629" t="s">
        <v>552</v>
      </c>
      <c r="J123" s="629" t="s">
        <v>542</v>
      </c>
      <c r="K123" s="357"/>
    </row>
    <row r="124" spans="1:11" ht="12.75">
      <c r="A124" s="628" t="s">
        <v>538</v>
      </c>
      <c r="B124" s="629" t="s">
        <v>553</v>
      </c>
      <c r="C124" s="630">
        <v>38477</v>
      </c>
      <c r="D124" s="631" t="s">
        <v>245</v>
      </c>
      <c r="E124" s="631"/>
      <c r="F124" s="631">
        <v>8.74</v>
      </c>
      <c r="G124" s="629">
        <v>2.43</v>
      </c>
      <c r="H124" s="631" t="s">
        <v>540</v>
      </c>
      <c r="I124" s="629" t="s">
        <v>555</v>
      </c>
      <c r="J124" s="629" t="s">
        <v>542</v>
      </c>
      <c r="K124" s="357"/>
    </row>
    <row r="125" spans="1:11" ht="12.75">
      <c r="A125" s="628" t="s">
        <v>538</v>
      </c>
      <c r="B125" s="629" t="s">
        <v>556</v>
      </c>
      <c r="C125" s="630">
        <v>38477</v>
      </c>
      <c r="D125" s="631" t="s">
        <v>245</v>
      </c>
      <c r="E125" s="631"/>
      <c r="F125" s="631">
        <v>2.06</v>
      </c>
      <c r="G125" s="629">
        <v>0.486</v>
      </c>
      <c r="H125" s="631" t="s">
        <v>540</v>
      </c>
      <c r="I125" s="629" t="s">
        <v>557</v>
      </c>
      <c r="J125" s="629" t="s">
        <v>542</v>
      </c>
      <c r="K125" s="357"/>
    </row>
    <row r="126" spans="1:11" ht="12.75">
      <c r="A126" s="628" t="s">
        <v>538</v>
      </c>
      <c r="B126" s="629" t="s">
        <v>558</v>
      </c>
      <c r="C126" s="630">
        <v>38477</v>
      </c>
      <c r="D126" s="631" t="s">
        <v>245</v>
      </c>
      <c r="E126" s="631"/>
      <c r="F126" s="631">
        <v>2.87</v>
      </c>
      <c r="G126" s="629">
        <v>1.26</v>
      </c>
      <c r="H126" s="631" t="s">
        <v>540</v>
      </c>
      <c r="I126" s="629" t="s">
        <v>559</v>
      </c>
      <c r="J126" s="629" t="s">
        <v>542</v>
      </c>
      <c r="K126" s="357"/>
    </row>
    <row r="127" spans="1:11" ht="12.75">
      <c r="A127" s="628" t="s">
        <v>538</v>
      </c>
      <c r="B127" s="629" t="s">
        <v>560</v>
      </c>
      <c r="C127" s="630">
        <v>38477</v>
      </c>
      <c r="D127" s="631" t="s">
        <v>245</v>
      </c>
      <c r="E127" s="631"/>
      <c r="F127" s="631">
        <v>2.5</v>
      </c>
      <c r="G127" s="629">
        <v>0.707</v>
      </c>
      <c r="H127" s="631" t="s">
        <v>540</v>
      </c>
      <c r="I127" s="629" t="s">
        <v>561</v>
      </c>
      <c r="J127" s="629" t="s">
        <v>542</v>
      </c>
      <c r="K127" s="357"/>
    </row>
    <row r="128" spans="1:11" ht="12.75">
      <c r="A128" s="628" t="s">
        <v>538</v>
      </c>
      <c r="B128" s="629" t="s">
        <v>562</v>
      </c>
      <c r="C128" s="630">
        <v>38477</v>
      </c>
      <c r="D128" s="631" t="s">
        <v>245</v>
      </c>
      <c r="E128" s="631"/>
      <c r="F128" s="631">
        <v>0.9</v>
      </c>
      <c r="G128" s="629">
        <v>0.932</v>
      </c>
      <c r="H128" s="631" t="s">
        <v>540</v>
      </c>
      <c r="I128" s="629" t="s">
        <v>563</v>
      </c>
      <c r="J128" s="629" t="s">
        <v>542</v>
      </c>
      <c r="K128" s="357"/>
    </row>
    <row r="129" spans="1:11" ht="12.75">
      <c r="A129" s="628" t="s">
        <v>538</v>
      </c>
      <c r="B129" s="629" t="s">
        <v>564</v>
      </c>
      <c r="C129" s="630">
        <v>38477</v>
      </c>
      <c r="D129" s="631" t="s">
        <v>245</v>
      </c>
      <c r="E129" s="631"/>
      <c r="F129" s="631">
        <v>0.854</v>
      </c>
      <c r="G129" s="629">
        <v>0.937</v>
      </c>
      <c r="H129" s="631" t="s">
        <v>540</v>
      </c>
      <c r="I129" s="629" t="s">
        <v>565</v>
      </c>
      <c r="J129" s="629" t="s">
        <v>542</v>
      </c>
      <c r="K129" s="357"/>
    </row>
    <row r="130" spans="1:11" ht="12.75">
      <c r="A130" s="628" t="s">
        <v>538</v>
      </c>
      <c r="B130" s="629" t="s">
        <v>566</v>
      </c>
      <c r="C130" s="630">
        <v>38477</v>
      </c>
      <c r="D130" s="631" t="s">
        <v>245</v>
      </c>
      <c r="E130" s="631"/>
      <c r="F130" s="631">
        <v>0.881</v>
      </c>
      <c r="G130" s="629">
        <v>0.932</v>
      </c>
      <c r="H130" s="631" t="s">
        <v>540</v>
      </c>
      <c r="I130" s="629" t="s">
        <v>567</v>
      </c>
      <c r="J130" s="629" t="s">
        <v>542</v>
      </c>
      <c r="K130" s="357"/>
    </row>
    <row r="131" spans="1:11" ht="12.75">
      <c r="A131" s="628" t="s">
        <v>538</v>
      </c>
      <c r="B131" s="629" t="s">
        <v>568</v>
      </c>
      <c r="C131" s="630">
        <v>38477</v>
      </c>
      <c r="D131" s="631" t="s">
        <v>245</v>
      </c>
      <c r="E131" s="631"/>
      <c r="F131" s="631">
        <v>1.55</v>
      </c>
      <c r="G131" s="629">
        <v>1.65</v>
      </c>
      <c r="H131" s="631" t="s">
        <v>540</v>
      </c>
      <c r="I131" s="629" t="s">
        <v>569</v>
      </c>
      <c r="J131" s="629" t="s">
        <v>542</v>
      </c>
      <c r="K131" s="357"/>
    </row>
    <row r="132" spans="1:11" ht="12.75">
      <c r="A132" s="628" t="s">
        <v>538</v>
      </c>
      <c r="B132" s="629" t="s">
        <v>570</v>
      </c>
      <c r="C132" s="630">
        <v>38477</v>
      </c>
      <c r="D132" s="631" t="s">
        <v>245</v>
      </c>
      <c r="E132" s="631"/>
      <c r="F132" s="631">
        <v>1.74</v>
      </c>
      <c r="G132" s="629">
        <v>1.21</v>
      </c>
      <c r="H132" s="631" t="s">
        <v>540</v>
      </c>
      <c r="I132" s="629" t="s">
        <v>571</v>
      </c>
      <c r="J132" s="629" t="s">
        <v>542</v>
      </c>
      <c r="K132" s="357"/>
    </row>
    <row r="133" spans="1:11" ht="12.75">
      <c r="A133" s="628" t="s">
        <v>538</v>
      </c>
      <c r="B133" s="629" t="s">
        <v>572</v>
      </c>
      <c r="C133" s="630">
        <v>38477</v>
      </c>
      <c r="D133" s="631" t="s">
        <v>245</v>
      </c>
      <c r="E133" s="631"/>
      <c r="F133" s="631">
        <v>2.45</v>
      </c>
      <c r="G133" s="629">
        <v>1.52</v>
      </c>
      <c r="H133" s="631" t="s">
        <v>540</v>
      </c>
      <c r="I133" s="629" t="s">
        <v>573</v>
      </c>
      <c r="J133" s="629" t="s">
        <v>542</v>
      </c>
      <c r="K133" s="357"/>
    </row>
    <row r="134" spans="1:11" ht="12.75">
      <c r="A134" s="628" t="s">
        <v>538</v>
      </c>
      <c r="B134" s="629" t="s">
        <v>574</v>
      </c>
      <c r="C134" s="630">
        <v>38477</v>
      </c>
      <c r="D134" s="631" t="s">
        <v>245</v>
      </c>
      <c r="E134" s="631" t="s">
        <v>322</v>
      </c>
      <c r="F134" s="631">
        <v>5.69</v>
      </c>
      <c r="G134" s="629">
        <v>1.78</v>
      </c>
      <c r="H134" s="631" t="s">
        <v>540</v>
      </c>
      <c r="I134" s="629" t="s">
        <v>575</v>
      </c>
      <c r="J134" s="629" t="s">
        <v>542</v>
      </c>
      <c r="K134" s="357"/>
    </row>
    <row r="135" spans="2:3" ht="12.75">
      <c r="B135" t="s">
        <v>322</v>
      </c>
      <c r="C135" t="s">
        <v>322</v>
      </c>
    </row>
    <row r="136" spans="1:11" ht="21">
      <c r="A136" s="625" t="s">
        <v>530</v>
      </c>
      <c r="B136" s="625" t="s">
        <v>315</v>
      </c>
      <c r="C136" s="626" t="s">
        <v>531</v>
      </c>
      <c r="D136" s="627" t="s">
        <v>532</v>
      </c>
      <c r="E136" s="627" t="s">
        <v>581</v>
      </c>
      <c r="F136" s="627" t="s">
        <v>582</v>
      </c>
      <c r="G136" s="627" t="s">
        <v>264</v>
      </c>
      <c r="H136" s="627" t="s">
        <v>316</v>
      </c>
      <c r="I136" s="625" t="s">
        <v>536</v>
      </c>
      <c r="J136" s="625" t="s">
        <v>537</v>
      </c>
      <c r="K136" s="357"/>
    </row>
    <row r="137" spans="1:11" ht="12.75">
      <c r="A137" s="628" t="s">
        <v>538</v>
      </c>
      <c r="B137" s="629" t="s">
        <v>539</v>
      </c>
      <c r="C137" s="630">
        <v>38638</v>
      </c>
      <c r="D137" s="631" t="s">
        <v>245</v>
      </c>
      <c r="E137" s="631"/>
      <c r="F137" s="631">
        <v>0.828</v>
      </c>
      <c r="G137" s="629">
        <v>0.699</v>
      </c>
      <c r="H137" s="631" t="s">
        <v>540</v>
      </c>
      <c r="I137" s="629" t="s">
        <v>541</v>
      </c>
      <c r="J137" s="629" t="s">
        <v>542</v>
      </c>
      <c r="K137" s="357"/>
    </row>
    <row r="138" spans="1:11" ht="12.75">
      <c r="A138" s="628" t="s">
        <v>538</v>
      </c>
      <c r="B138" s="629" t="s">
        <v>543</v>
      </c>
      <c r="C138" s="630">
        <v>38638</v>
      </c>
      <c r="D138" s="631" t="s">
        <v>245</v>
      </c>
      <c r="E138" s="631"/>
      <c r="F138" s="631">
        <v>1.06</v>
      </c>
      <c r="G138" s="629">
        <v>1.12</v>
      </c>
      <c r="H138" s="631" t="s">
        <v>540</v>
      </c>
      <c r="I138" s="629" t="s">
        <v>544</v>
      </c>
      <c r="J138" s="629" t="s">
        <v>542</v>
      </c>
      <c r="K138" s="357"/>
    </row>
    <row r="139" spans="1:11" ht="12.75">
      <c r="A139" s="628" t="s">
        <v>538</v>
      </c>
      <c r="B139" s="629" t="s">
        <v>545</v>
      </c>
      <c r="C139" s="630">
        <v>38638</v>
      </c>
      <c r="D139" s="631" t="s">
        <v>245</v>
      </c>
      <c r="E139" s="631"/>
      <c r="F139" s="631">
        <v>1.57</v>
      </c>
      <c r="G139" s="629">
        <v>0.727</v>
      </c>
      <c r="H139" s="631" t="s">
        <v>540</v>
      </c>
      <c r="I139" s="629" t="s">
        <v>546</v>
      </c>
      <c r="J139" s="629" t="s">
        <v>542</v>
      </c>
      <c r="K139" s="357"/>
    </row>
    <row r="140" spans="1:11" ht="12.75">
      <c r="A140" s="628" t="s">
        <v>538</v>
      </c>
      <c r="B140" s="629" t="s">
        <v>547</v>
      </c>
      <c r="C140" s="630">
        <v>38638</v>
      </c>
      <c r="D140" s="631" t="s">
        <v>245</v>
      </c>
      <c r="E140" s="631"/>
      <c r="F140" s="631">
        <v>1.65</v>
      </c>
      <c r="G140" s="629">
        <v>0.729</v>
      </c>
      <c r="H140" s="631" t="s">
        <v>540</v>
      </c>
      <c r="I140" s="629" t="s">
        <v>548</v>
      </c>
      <c r="J140" s="629" t="s">
        <v>542</v>
      </c>
      <c r="K140" s="357"/>
    </row>
    <row r="141" spans="1:11" ht="12.75">
      <c r="A141" s="628" t="s">
        <v>538</v>
      </c>
      <c r="B141" s="629" t="s">
        <v>549</v>
      </c>
      <c r="C141" s="630">
        <v>38638</v>
      </c>
      <c r="D141" s="631" t="s">
        <v>245</v>
      </c>
      <c r="E141" s="631"/>
      <c r="F141" s="631">
        <v>1.62</v>
      </c>
      <c r="G141" s="629">
        <v>2.22</v>
      </c>
      <c r="H141" s="631" t="s">
        <v>540</v>
      </c>
      <c r="I141" s="629" t="s">
        <v>550</v>
      </c>
      <c r="J141" s="629" t="s">
        <v>542</v>
      </c>
      <c r="K141" s="357"/>
    </row>
    <row r="142" spans="1:11" ht="12.75">
      <c r="A142" s="628" t="s">
        <v>538</v>
      </c>
      <c r="B142" s="629" t="s">
        <v>551</v>
      </c>
      <c r="C142" s="630">
        <v>38638</v>
      </c>
      <c r="D142" s="631" t="s">
        <v>245</v>
      </c>
      <c r="E142" s="631"/>
      <c r="F142" s="631">
        <v>3.28</v>
      </c>
      <c r="G142" s="629">
        <v>0.826</v>
      </c>
      <c r="H142" s="631" t="s">
        <v>540</v>
      </c>
      <c r="I142" s="629" t="s">
        <v>552</v>
      </c>
      <c r="J142" s="629" t="s">
        <v>542</v>
      </c>
      <c r="K142" s="357"/>
    </row>
    <row r="143" spans="1:11" ht="12.75">
      <c r="A143" s="628" t="s">
        <v>538</v>
      </c>
      <c r="B143" s="629" t="s">
        <v>553</v>
      </c>
      <c r="C143" s="630">
        <v>38638</v>
      </c>
      <c r="D143" s="631"/>
      <c r="E143" s="631">
        <v>8.55</v>
      </c>
      <c r="F143" s="631"/>
      <c r="G143" s="629">
        <v>2.43</v>
      </c>
      <c r="H143" s="631" t="s">
        <v>540</v>
      </c>
      <c r="I143" s="629" t="s">
        <v>555</v>
      </c>
      <c r="J143" s="629" t="s">
        <v>542</v>
      </c>
      <c r="K143" s="357"/>
    </row>
    <row r="144" spans="1:11" ht="12.75">
      <c r="A144" s="628" t="s">
        <v>538</v>
      </c>
      <c r="B144" s="629" t="s">
        <v>556</v>
      </c>
      <c r="C144" s="630">
        <v>38638</v>
      </c>
      <c r="D144" s="631" t="s">
        <v>245</v>
      </c>
      <c r="E144" s="631"/>
      <c r="F144" s="631">
        <v>0.698</v>
      </c>
      <c r="G144" s="629">
        <v>0.486</v>
      </c>
      <c r="H144" s="631" t="s">
        <v>540</v>
      </c>
      <c r="I144" s="629" t="s">
        <v>557</v>
      </c>
      <c r="J144" s="629" t="s">
        <v>542</v>
      </c>
      <c r="K144" s="357"/>
    </row>
    <row r="145" spans="1:11" ht="12.75">
      <c r="A145" s="628" t="s">
        <v>538</v>
      </c>
      <c r="B145" s="629" t="s">
        <v>558</v>
      </c>
      <c r="C145" s="630">
        <v>38638</v>
      </c>
      <c r="D145" s="631" t="s">
        <v>245</v>
      </c>
      <c r="E145" s="631"/>
      <c r="F145" s="631">
        <v>1.02</v>
      </c>
      <c r="G145" s="629">
        <v>1.26</v>
      </c>
      <c r="H145" s="631" t="s">
        <v>540</v>
      </c>
      <c r="I145" s="629" t="s">
        <v>559</v>
      </c>
      <c r="J145" s="629" t="s">
        <v>542</v>
      </c>
      <c r="K145" s="357"/>
    </row>
    <row r="146" spans="1:11" ht="12.75">
      <c r="A146" s="628" t="s">
        <v>538</v>
      </c>
      <c r="B146" s="629" t="s">
        <v>560</v>
      </c>
      <c r="C146" s="630">
        <v>38638</v>
      </c>
      <c r="D146" s="631" t="s">
        <v>245</v>
      </c>
      <c r="E146" s="631"/>
      <c r="F146" s="631">
        <v>0.938</v>
      </c>
      <c r="G146" s="629">
        <v>0.707</v>
      </c>
      <c r="H146" s="631" t="s">
        <v>540</v>
      </c>
      <c r="I146" s="629" t="s">
        <v>561</v>
      </c>
      <c r="J146" s="629" t="s">
        <v>542</v>
      </c>
      <c r="K146" s="357"/>
    </row>
    <row r="147" spans="1:11" ht="12.75">
      <c r="A147" s="628" t="s">
        <v>538</v>
      </c>
      <c r="B147" s="629" t="s">
        <v>562</v>
      </c>
      <c r="C147" s="630">
        <v>38638</v>
      </c>
      <c r="D147" s="631" t="s">
        <v>245</v>
      </c>
      <c r="E147" s="631"/>
      <c r="F147" s="631">
        <v>0.705</v>
      </c>
      <c r="G147" s="629">
        <v>0.932</v>
      </c>
      <c r="H147" s="631" t="s">
        <v>540</v>
      </c>
      <c r="I147" s="629" t="s">
        <v>563</v>
      </c>
      <c r="J147" s="629" t="s">
        <v>542</v>
      </c>
      <c r="K147" s="357"/>
    </row>
    <row r="148" spans="1:11" ht="12.75">
      <c r="A148" s="628" t="s">
        <v>538</v>
      </c>
      <c r="B148" s="629" t="s">
        <v>564</v>
      </c>
      <c r="C148" s="630">
        <v>38638</v>
      </c>
      <c r="D148" s="631" t="s">
        <v>245</v>
      </c>
      <c r="E148" s="631"/>
      <c r="F148" s="631">
        <v>0.705</v>
      </c>
      <c r="G148" s="629">
        <v>0.937</v>
      </c>
      <c r="H148" s="631" t="s">
        <v>540</v>
      </c>
      <c r="I148" s="629" t="s">
        <v>565</v>
      </c>
      <c r="J148" s="629" t="s">
        <v>542</v>
      </c>
      <c r="K148" s="357"/>
    </row>
    <row r="149" spans="1:11" ht="12.75">
      <c r="A149" s="628" t="s">
        <v>538</v>
      </c>
      <c r="B149" s="629" t="s">
        <v>566</v>
      </c>
      <c r="C149" s="630">
        <v>38638</v>
      </c>
      <c r="D149" s="631" t="s">
        <v>245</v>
      </c>
      <c r="E149" s="631"/>
      <c r="F149" s="631">
        <v>0.44</v>
      </c>
      <c r="G149" s="629">
        <v>0.932</v>
      </c>
      <c r="H149" s="631" t="s">
        <v>540</v>
      </c>
      <c r="I149" s="629" t="s">
        <v>567</v>
      </c>
      <c r="J149" s="629" t="s">
        <v>542</v>
      </c>
      <c r="K149" s="357"/>
    </row>
    <row r="150" spans="1:11" ht="12.75">
      <c r="A150" s="628" t="s">
        <v>538</v>
      </c>
      <c r="B150" s="629" t="s">
        <v>568</v>
      </c>
      <c r="C150" s="630">
        <v>38638</v>
      </c>
      <c r="D150" s="631" t="s">
        <v>245</v>
      </c>
      <c r="E150" s="631"/>
      <c r="F150" s="631">
        <v>0.579</v>
      </c>
      <c r="G150" s="629">
        <v>1.65</v>
      </c>
      <c r="H150" s="631" t="s">
        <v>540</v>
      </c>
      <c r="I150" s="629" t="s">
        <v>569</v>
      </c>
      <c r="J150" s="629" t="s">
        <v>542</v>
      </c>
      <c r="K150" s="357"/>
    </row>
    <row r="151" spans="1:11" ht="12.75">
      <c r="A151" s="628" t="s">
        <v>538</v>
      </c>
      <c r="B151" s="629" t="s">
        <v>570</v>
      </c>
      <c r="C151" s="630">
        <v>38638</v>
      </c>
      <c r="D151" s="631" t="s">
        <v>245</v>
      </c>
      <c r="E151" s="631"/>
      <c r="F151" s="631">
        <v>0.981</v>
      </c>
      <c r="G151" s="629">
        <v>1.21</v>
      </c>
      <c r="H151" s="631" t="s">
        <v>540</v>
      </c>
      <c r="I151" s="629" t="s">
        <v>571</v>
      </c>
      <c r="J151" s="629" t="s">
        <v>542</v>
      </c>
      <c r="K151" s="357"/>
    </row>
    <row r="152" spans="1:11" ht="12.75">
      <c r="A152" s="628" t="s">
        <v>538</v>
      </c>
      <c r="B152" s="629" t="s">
        <v>572</v>
      </c>
      <c r="C152" s="630">
        <v>38638</v>
      </c>
      <c r="D152" s="631" t="s">
        <v>245</v>
      </c>
      <c r="E152" s="631"/>
      <c r="F152" s="631">
        <v>1.15</v>
      </c>
      <c r="G152" s="629">
        <v>1.52</v>
      </c>
      <c r="H152" s="631" t="s">
        <v>540</v>
      </c>
      <c r="I152" s="629" t="s">
        <v>573</v>
      </c>
      <c r="J152" s="629" t="s">
        <v>542</v>
      </c>
      <c r="K152" s="357"/>
    </row>
    <row r="153" spans="1:11" ht="12.75">
      <c r="A153" s="628" t="s">
        <v>538</v>
      </c>
      <c r="B153" s="629" t="s">
        <v>574</v>
      </c>
      <c r="C153" s="630">
        <v>38638</v>
      </c>
      <c r="D153" s="631" t="s">
        <v>245</v>
      </c>
      <c r="E153" s="631"/>
      <c r="F153" s="631">
        <v>5.27</v>
      </c>
      <c r="G153" s="629">
        <v>1.78</v>
      </c>
      <c r="H153" s="631" t="s">
        <v>540</v>
      </c>
      <c r="I153" s="629" t="s">
        <v>575</v>
      </c>
      <c r="J153" s="629" t="s">
        <v>542</v>
      </c>
      <c r="K153" s="357"/>
    </row>
    <row r="154" spans="1:11" ht="12.75">
      <c r="A154" s="637"/>
      <c r="B154" s="635"/>
      <c r="C154" s="633"/>
      <c r="D154" s="634"/>
      <c r="E154" s="634"/>
      <c r="F154" s="634"/>
      <c r="G154" s="635"/>
      <c r="H154" s="634"/>
      <c r="I154" s="635"/>
      <c r="J154" s="635"/>
      <c r="K154" s="357"/>
    </row>
    <row r="155" spans="3:4" ht="12.75">
      <c r="C155" t="s">
        <v>322</v>
      </c>
      <c r="D155" t="s">
        <v>322</v>
      </c>
    </row>
    <row r="156" spans="1:11" ht="12.75">
      <c r="A156" s="53"/>
      <c r="B156" s="638" t="s">
        <v>584</v>
      </c>
      <c r="C156" s="638" t="s">
        <v>585</v>
      </c>
      <c r="D156" s="638" t="s">
        <v>586</v>
      </c>
      <c r="E156" s="638" t="s">
        <v>587</v>
      </c>
      <c r="F156" s="638" t="s">
        <v>588</v>
      </c>
      <c r="G156" s="638" t="s">
        <v>589</v>
      </c>
      <c r="H156" s="639"/>
      <c r="I156" s="639"/>
      <c r="J156" s="639"/>
      <c r="K156" s="639"/>
    </row>
    <row r="157" spans="1:11" ht="12.75">
      <c r="A157" s="53" t="s">
        <v>590</v>
      </c>
      <c r="B157" s="53"/>
      <c r="C157" s="53"/>
      <c r="D157" s="53"/>
      <c r="E157" s="53"/>
      <c r="F157" s="53"/>
      <c r="G157" s="53"/>
      <c r="H157" s="639"/>
      <c r="I157" s="639"/>
      <c r="J157" s="639"/>
      <c r="K157" s="639"/>
    </row>
    <row r="158" spans="1:11" ht="12.75">
      <c r="A158" s="53"/>
      <c r="B158" s="53"/>
      <c r="C158" s="53"/>
      <c r="D158" s="53"/>
      <c r="E158" s="53"/>
      <c r="F158" s="53"/>
      <c r="G158" s="53"/>
      <c r="H158" s="639"/>
      <c r="I158" s="639"/>
      <c r="J158" s="639"/>
      <c r="K158" s="639"/>
    </row>
    <row r="159" spans="1:11" ht="12.75">
      <c r="A159" s="53" t="s">
        <v>553</v>
      </c>
      <c r="B159" s="640" t="s">
        <v>245</v>
      </c>
      <c r="C159" s="640">
        <v>10.8</v>
      </c>
      <c r="D159" s="640">
        <v>14.8</v>
      </c>
      <c r="E159" s="640">
        <v>8.69</v>
      </c>
      <c r="F159" s="640">
        <v>26.8</v>
      </c>
      <c r="G159" s="640" t="s">
        <v>245</v>
      </c>
      <c r="H159" s="639"/>
      <c r="I159" s="639"/>
      <c r="J159" s="639"/>
      <c r="K159" s="639"/>
    </row>
    <row r="160" spans="1:11" ht="12.75">
      <c r="A160" s="53" t="s">
        <v>591</v>
      </c>
      <c r="B160" s="640" t="s">
        <v>245</v>
      </c>
      <c r="C160" s="640" t="s">
        <v>245</v>
      </c>
      <c r="D160" s="640" t="s">
        <v>245</v>
      </c>
      <c r="E160" s="640" t="s">
        <v>245</v>
      </c>
      <c r="F160" s="640">
        <v>4.05</v>
      </c>
      <c r="G160" s="640" t="s">
        <v>245</v>
      </c>
      <c r="H160" s="639"/>
      <c r="I160" s="639"/>
      <c r="J160" s="639"/>
      <c r="K160" s="639"/>
    </row>
    <row r="161" spans="1:11" ht="12.75">
      <c r="A161" s="53" t="s">
        <v>574</v>
      </c>
      <c r="B161" s="640" t="s">
        <v>245</v>
      </c>
      <c r="C161" s="640" t="s">
        <v>245</v>
      </c>
      <c r="D161" s="640" t="s">
        <v>245</v>
      </c>
      <c r="E161" s="640" t="s">
        <v>245</v>
      </c>
      <c r="F161" s="640">
        <v>3.57</v>
      </c>
      <c r="G161" s="640" t="s">
        <v>245</v>
      </c>
      <c r="H161" s="639"/>
      <c r="I161" s="639"/>
      <c r="J161" s="639"/>
      <c r="K161" s="639"/>
    </row>
    <row r="162" spans="1:11" ht="12.75">
      <c r="A162" s="53"/>
      <c r="B162" s="53"/>
      <c r="C162" s="53"/>
      <c r="D162" s="53"/>
      <c r="E162" s="53"/>
      <c r="F162" s="53"/>
      <c r="G162" s="53"/>
      <c r="H162" s="639"/>
      <c r="I162" s="639"/>
      <c r="J162" s="639"/>
      <c r="K162" s="639"/>
    </row>
    <row r="163" spans="1:11" ht="12.75">
      <c r="A163" s="53" t="s">
        <v>592</v>
      </c>
      <c r="B163" s="53"/>
      <c r="C163" s="53"/>
      <c r="D163" s="53"/>
      <c r="E163" s="53"/>
      <c r="F163" s="53"/>
      <c r="G163" s="53"/>
      <c r="H163" s="639"/>
      <c r="I163" s="639"/>
      <c r="J163" s="639"/>
      <c r="K163" s="639"/>
    </row>
    <row r="164" spans="1:11" ht="12.75">
      <c r="A164" s="53" t="s">
        <v>593</v>
      </c>
      <c r="B164" s="53"/>
      <c r="C164" s="53"/>
      <c r="D164" s="53"/>
      <c r="E164" s="53"/>
      <c r="F164" s="53"/>
      <c r="G164" s="53"/>
      <c r="H164" s="639"/>
      <c r="I164" s="639"/>
      <c r="J164" s="639"/>
      <c r="K164" s="639"/>
    </row>
    <row r="165" spans="1:11" ht="12.75">
      <c r="A165" s="53" t="s">
        <v>594</v>
      </c>
      <c r="B165" s="53"/>
      <c r="C165" s="53"/>
      <c r="D165" s="53"/>
      <c r="E165" s="53"/>
      <c r="F165" s="53"/>
      <c r="G165" s="53"/>
      <c r="H165" s="639"/>
      <c r="I165" s="639"/>
      <c r="J165" s="639"/>
      <c r="K165" s="639"/>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7"/>
  <dimension ref="A3:N17"/>
  <sheetViews>
    <sheetView workbookViewId="0" topLeftCell="A1">
      <selection activeCell="A7" sqref="A7"/>
    </sheetView>
  </sheetViews>
  <sheetFormatPr defaultColWidth="9.140625" defaultRowHeight="12.75"/>
  <cols>
    <col min="1" max="1" width="13.28125" style="0" customWidth="1"/>
    <col min="2" max="2" width="15.421875" style="0" customWidth="1"/>
    <col min="3" max="3" width="11.7109375" style="0" customWidth="1"/>
    <col min="4" max="4" width="11.28125" style="0" customWidth="1"/>
    <col min="5" max="6" width="12.00390625" style="0" customWidth="1"/>
    <col min="7" max="7" width="6.57421875" style="0" customWidth="1"/>
    <col min="8" max="8" width="8.140625" style="0" customWidth="1"/>
    <col min="9" max="9" width="7.7109375" style="0" customWidth="1"/>
    <col min="10" max="10" width="9.421875" style="0" customWidth="1"/>
    <col min="11" max="11" width="13.57421875" style="0" customWidth="1"/>
    <col min="12" max="12" width="8.140625" style="0" customWidth="1"/>
    <col min="13" max="14" width="10.421875" style="0" bestFit="1" customWidth="1"/>
  </cols>
  <sheetData>
    <row r="3" ht="15.75">
      <c r="A3" s="624" t="s">
        <v>600</v>
      </c>
    </row>
    <row r="6" spans="1:14" ht="31.5">
      <c r="A6" s="625" t="s">
        <v>530</v>
      </c>
      <c r="B6" s="625" t="s">
        <v>315</v>
      </c>
      <c r="C6" s="626" t="s">
        <v>531</v>
      </c>
      <c r="D6" s="627" t="s">
        <v>532</v>
      </c>
      <c r="E6" s="627" t="s">
        <v>595</v>
      </c>
      <c r="F6" s="627" t="s">
        <v>596</v>
      </c>
      <c r="G6" s="627" t="s">
        <v>534</v>
      </c>
      <c r="H6" s="627" t="s">
        <v>535</v>
      </c>
      <c r="I6" s="627" t="s">
        <v>316</v>
      </c>
      <c r="J6" s="625" t="s">
        <v>536</v>
      </c>
      <c r="K6" s="625" t="s">
        <v>537</v>
      </c>
      <c r="L6" s="625" t="s">
        <v>597</v>
      </c>
      <c r="M6" s="625" t="s">
        <v>598</v>
      </c>
      <c r="N6" s="625" t="s">
        <v>599</v>
      </c>
    </row>
    <row r="7" spans="1:14" ht="22.5">
      <c r="A7" s="628" t="s">
        <v>538</v>
      </c>
      <c r="B7" s="629" t="s">
        <v>553</v>
      </c>
      <c r="C7" s="630">
        <v>37743</v>
      </c>
      <c r="D7" s="631" t="s">
        <v>245</v>
      </c>
      <c r="E7" s="631"/>
      <c r="F7" s="641">
        <f>E7/1000000</f>
        <v>0</v>
      </c>
      <c r="G7" s="631"/>
      <c r="H7" s="629">
        <v>7.46</v>
      </c>
      <c r="I7" s="631" t="s">
        <v>540</v>
      </c>
      <c r="J7" s="629" t="s">
        <v>555</v>
      </c>
      <c r="K7" s="629" t="s">
        <v>542</v>
      </c>
      <c r="L7" s="642">
        <v>0.0001</v>
      </c>
      <c r="M7" s="643">
        <f>F7*L7</f>
        <v>0</v>
      </c>
      <c r="N7" s="643">
        <f>M7</f>
        <v>0</v>
      </c>
    </row>
    <row r="8" spans="1:14" ht="22.5">
      <c r="A8" s="628" t="s">
        <v>538</v>
      </c>
      <c r="B8" s="629" t="s">
        <v>553</v>
      </c>
      <c r="C8" s="630">
        <v>37897</v>
      </c>
      <c r="D8" s="631" t="s">
        <v>322</v>
      </c>
      <c r="E8" s="631">
        <v>14.8</v>
      </c>
      <c r="F8" s="641">
        <f aca="true" t="shared" si="0" ref="F8:F13">E8/1000000</f>
        <v>1.48E-05</v>
      </c>
      <c r="G8" s="631"/>
      <c r="H8" s="629">
        <v>6.96</v>
      </c>
      <c r="I8" s="631" t="s">
        <v>540</v>
      </c>
      <c r="J8" s="629" t="s">
        <v>555</v>
      </c>
      <c r="K8" s="629" t="s">
        <v>542</v>
      </c>
      <c r="L8" s="642">
        <v>0.0001</v>
      </c>
      <c r="M8" s="643">
        <f aca="true" t="shared" si="1" ref="M8:M13">F8*L8</f>
        <v>1.48E-09</v>
      </c>
      <c r="N8" s="643">
        <f>M8</f>
        <v>1.48E-09</v>
      </c>
    </row>
    <row r="9" spans="1:14" ht="22.5">
      <c r="A9" s="628" t="s">
        <v>538</v>
      </c>
      <c r="B9" s="629" t="s">
        <v>553</v>
      </c>
      <c r="C9" s="630">
        <v>38113</v>
      </c>
      <c r="D9" s="631" t="s">
        <v>322</v>
      </c>
      <c r="E9" s="631">
        <v>8.69</v>
      </c>
      <c r="F9" s="641">
        <f t="shared" si="0"/>
        <v>8.69E-06</v>
      </c>
      <c r="G9" s="631"/>
      <c r="H9" s="629"/>
      <c r="I9" s="631" t="s">
        <v>540</v>
      </c>
      <c r="J9" s="629" t="s">
        <v>555</v>
      </c>
      <c r="K9" s="629" t="s">
        <v>542</v>
      </c>
      <c r="L9" s="642">
        <v>0.0001</v>
      </c>
      <c r="M9" s="643">
        <f t="shared" si="1"/>
        <v>8.69E-10</v>
      </c>
      <c r="N9" s="643">
        <f>M9</f>
        <v>8.69E-10</v>
      </c>
    </row>
    <row r="10" spans="1:14" ht="22.5">
      <c r="A10" s="628" t="s">
        <v>538</v>
      </c>
      <c r="B10" s="629" t="s">
        <v>551</v>
      </c>
      <c r="C10" s="630">
        <v>38352</v>
      </c>
      <c r="D10" s="631"/>
      <c r="E10" s="631">
        <v>4.05</v>
      </c>
      <c r="F10" s="641">
        <f t="shared" si="0"/>
        <v>4.05E-06</v>
      </c>
      <c r="G10" s="631"/>
      <c r="H10" s="629">
        <v>0.826</v>
      </c>
      <c r="I10" s="631" t="s">
        <v>540</v>
      </c>
      <c r="J10" s="629" t="s">
        <v>552</v>
      </c>
      <c r="K10" s="629" t="s">
        <v>542</v>
      </c>
      <c r="L10" s="642">
        <v>0.01</v>
      </c>
      <c r="M10" s="643">
        <f t="shared" si="1"/>
        <v>4.0500000000000005E-08</v>
      </c>
      <c r="N10" s="772">
        <f>SUM(M10:M12)</f>
        <v>4.1369000000000005E-08</v>
      </c>
    </row>
    <row r="11" spans="1:14" ht="22.5">
      <c r="A11" s="628" t="s">
        <v>538</v>
      </c>
      <c r="B11" s="629" t="s">
        <v>553</v>
      </c>
      <c r="C11" s="630">
        <v>38352</v>
      </c>
      <c r="D11" s="631"/>
      <c r="E11" s="631">
        <v>8.69</v>
      </c>
      <c r="F11" s="641">
        <f t="shared" si="0"/>
        <v>8.69E-06</v>
      </c>
      <c r="G11" s="631"/>
      <c r="H11" s="629">
        <v>2.43</v>
      </c>
      <c r="I11" s="631" t="s">
        <v>540</v>
      </c>
      <c r="J11" s="629" t="s">
        <v>555</v>
      </c>
      <c r="K11" s="629" t="s">
        <v>542</v>
      </c>
      <c r="L11" s="642">
        <v>0.0001</v>
      </c>
      <c r="M11" s="643">
        <f t="shared" si="1"/>
        <v>8.69E-10</v>
      </c>
      <c r="N11" s="773"/>
    </row>
    <row r="12" spans="1:14" ht="22.5">
      <c r="A12" s="628" t="s">
        <v>538</v>
      </c>
      <c r="B12" s="629" t="s">
        <v>574</v>
      </c>
      <c r="C12" s="630">
        <v>38352</v>
      </c>
      <c r="D12" s="631" t="s">
        <v>245</v>
      </c>
      <c r="E12" s="631"/>
      <c r="F12" s="641">
        <f t="shared" si="0"/>
        <v>0</v>
      </c>
      <c r="G12" s="631"/>
      <c r="H12" s="629">
        <v>1.78</v>
      </c>
      <c r="I12" s="631" t="s">
        <v>540</v>
      </c>
      <c r="J12" s="629" t="s">
        <v>575</v>
      </c>
      <c r="K12" s="629" t="s">
        <v>542</v>
      </c>
      <c r="L12" s="642">
        <v>0.0001</v>
      </c>
      <c r="M12" s="643">
        <f t="shared" si="1"/>
        <v>0</v>
      </c>
      <c r="N12" s="774"/>
    </row>
    <row r="13" spans="1:14" ht="22.5">
      <c r="A13" s="628" t="s">
        <v>538</v>
      </c>
      <c r="B13" s="629" t="s">
        <v>553</v>
      </c>
      <c r="C13" s="630">
        <v>38638</v>
      </c>
      <c r="D13" s="631"/>
      <c r="E13" s="631">
        <v>8.55</v>
      </c>
      <c r="F13" s="641">
        <f t="shared" si="0"/>
        <v>8.550000000000001E-06</v>
      </c>
      <c r="G13" s="631"/>
      <c r="H13" s="629">
        <v>2.43</v>
      </c>
      <c r="I13" s="631" t="s">
        <v>540</v>
      </c>
      <c r="J13" s="629" t="s">
        <v>555</v>
      </c>
      <c r="K13" s="629" t="s">
        <v>542</v>
      </c>
      <c r="L13" s="642">
        <v>0.0001</v>
      </c>
      <c r="M13" s="643">
        <f t="shared" si="1"/>
        <v>8.550000000000001E-10</v>
      </c>
      <c r="N13" s="643">
        <f>M13</f>
        <v>8.550000000000001E-10</v>
      </c>
    </row>
    <row r="14" spans="1:14" ht="12.75">
      <c r="A14" s="637"/>
      <c r="B14" s="635"/>
      <c r="C14" s="633"/>
      <c r="D14" s="634"/>
      <c r="E14" s="634"/>
      <c r="F14" s="634"/>
      <c r="G14" s="634"/>
      <c r="H14" s="635"/>
      <c r="I14" s="634"/>
      <c r="J14" s="635"/>
      <c r="K14" s="635"/>
      <c r="L14" s="644"/>
      <c r="M14" s="644"/>
      <c r="N14" s="357"/>
    </row>
    <row r="15" spans="1:14" ht="12.75">
      <c r="A15" s="637"/>
      <c r="B15" s="635"/>
      <c r="C15" s="633"/>
      <c r="D15" s="634"/>
      <c r="E15" s="634"/>
      <c r="F15" s="634"/>
      <c r="G15" s="634"/>
      <c r="H15" s="635"/>
      <c r="I15" s="634"/>
      <c r="J15" s="635"/>
      <c r="K15" s="635"/>
      <c r="L15" s="644"/>
      <c r="M15" s="644"/>
      <c r="N15" s="357"/>
    </row>
    <row r="17" ht="12.75">
      <c r="M17" s="645">
        <f>N10</f>
        <v>4.1369000000000005E-08</v>
      </c>
    </row>
  </sheetData>
  <mergeCells count="1">
    <mergeCell ref="N10:N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1:Z35"/>
  <sheetViews>
    <sheetView zoomScale="80" zoomScaleNormal="80" workbookViewId="0" topLeftCell="A1">
      <selection activeCell="A1" sqref="A1"/>
    </sheetView>
  </sheetViews>
  <sheetFormatPr defaultColWidth="9.140625" defaultRowHeight="12.75"/>
  <cols>
    <col min="1" max="1" width="11.421875" style="0" customWidth="1"/>
    <col min="2" max="2" width="11.7109375" style="0" customWidth="1"/>
    <col min="3" max="3" width="10.421875" style="0" customWidth="1"/>
    <col min="4" max="4" width="9.28125" style="0" bestFit="1" customWidth="1"/>
    <col min="5" max="5" width="8.140625" style="0" customWidth="1"/>
    <col min="6" max="6" width="13.00390625" style="0" bestFit="1" customWidth="1"/>
    <col min="7" max="7" width="8.57421875" style="0" customWidth="1"/>
    <col min="8" max="8" width="13.57421875" style="0" customWidth="1"/>
    <col min="9" max="9" width="11.8515625" style="0" customWidth="1"/>
    <col min="10" max="10" width="11.00390625" style="0" customWidth="1"/>
    <col min="11" max="11" width="13.140625" style="0" customWidth="1"/>
    <col min="12" max="12" width="15.28125" style="0" customWidth="1"/>
    <col min="13" max="13" width="11.00390625" style="0" customWidth="1"/>
    <col min="14" max="14" width="10.140625" style="0" customWidth="1"/>
    <col min="15" max="15" width="9.28125" style="0" customWidth="1"/>
    <col min="16" max="16" width="3.00390625" style="0" customWidth="1"/>
    <col min="17" max="17" width="6.421875" style="0" customWidth="1"/>
    <col min="18" max="18" width="5.8515625" style="0" customWidth="1"/>
    <col min="19" max="19" width="2.8515625" style="0" customWidth="1"/>
    <col min="20" max="20" width="6.7109375" style="0" customWidth="1"/>
    <col min="21" max="21" width="9.8515625" style="0" customWidth="1"/>
    <col min="22" max="22" width="2.7109375" style="0" customWidth="1"/>
    <col min="23" max="23" width="6.140625" style="0" customWidth="1"/>
    <col min="24" max="24" width="12.421875" style="0" customWidth="1"/>
    <col min="25" max="25" width="16.57421875" style="0" customWidth="1"/>
    <col min="26" max="26" width="16.421875" style="0" customWidth="1"/>
  </cols>
  <sheetData>
    <row r="1" ht="12.75">
      <c r="A1" s="639" t="s">
        <v>601</v>
      </c>
    </row>
    <row r="3" spans="1:26" ht="57">
      <c r="A3" s="646" t="s">
        <v>602</v>
      </c>
      <c r="B3" s="646" t="s">
        <v>603</v>
      </c>
      <c r="C3" s="647" t="s">
        <v>604</v>
      </c>
      <c r="D3" s="647" t="s">
        <v>605</v>
      </c>
      <c r="E3" s="647" t="s">
        <v>606</v>
      </c>
      <c r="F3" s="647" t="s">
        <v>607</v>
      </c>
      <c r="G3" s="647" t="s">
        <v>608</v>
      </c>
      <c r="H3" s="647" t="s">
        <v>609</v>
      </c>
      <c r="I3" s="782" t="s">
        <v>217</v>
      </c>
      <c r="J3" s="783"/>
      <c r="K3" s="784"/>
      <c r="L3" s="648" t="s">
        <v>610</v>
      </c>
      <c r="M3" s="648" t="s">
        <v>611</v>
      </c>
      <c r="N3" s="648" t="s">
        <v>612</v>
      </c>
      <c r="O3" s="782" t="s">
        <v>613</v>
      </c>
      <c r="P3" s="783"/>
      <c r="Q3" s="784"/>
      <c r="R3" s="782" t="s">
        <v>614</v>
      </c>
      <c r="S3" s="783"/>
      <c r="T3" s="784"/>
      <c r="U3" s="782" t="s">
        <v>615</v>
      </c>
      <c r="V3" s="783"/>
      <c r="W3" s="784"/>
      <c r="X3" s="648" t="s">
        <v>616</v>
      </c>
      <c r="Y3" s="648" t="s">
        <v>617</v>
      </c>
      <c r="Z3" s="648" t="s">
        <v>618</v>
      </c>
    </row>
    <row r="4" spans="1:26" ht="18">
      <c r="A4" s="649">
        <v>13</v>
      </c>
      <c r="B4" s="657" t="s">
        <v>197</v>
      </c>
      <c r="C4" s="649">
        <v>21</v>
      </c>
      <c r="D4" s="649">
        <v>0</v>
      </c>
      <c r="E4" s="658">
        <f>D4/C4</f>
        <v>0</v>
      </c>
      <c r="F4" s="659">
        <v>64.1055423524856</v>
      </c>
      <c r="G4" s="649">
        <v>68</v>
      </c>
      <c r="H4" s="649">
        <v>4.4</v>
      </c>
      <c r="I4" s="776" t="s">
        <v>619</v>
      </c>
      <c r="J4" s="777"/>
      <c r="K4" s="778"/>
      <c r="L4" s="657" t="s">
        <v>620</v>
      </c>
      <c r="M4" s="660">
        <v>38.38095238095238</v>
      </c>
      <c r="N4" s="661">
        <v>15.001587217611979</v>
      </c>
      <c r="O4" s="662">
        <f>M4+1.645*N4</f>
        <v>63.058563353924086</v>
      </c>
      <c r="P4" s="663" t="s">
        <v>621</v>
      </c>
      <c r="Q4" s="664">
        <v>363.9131655541814</v>
      </c>
      <c r="R4" s="662">
        <f>M4+2.326*N4</f>
        <v>73.27464424911784</v>
      </c>
      <c r="S4" s="663" t="s">
        <v>621</v>
      </c>
      <c r="T4" s="664">
        <v>603.727360850916</v>
      </c>
      <c r="U4" s="662">
        <v>40.64</v>
      </c>
      <c r="V4" s="663" t="s">
        <v>621</v>
      </c>
      <c r="W4" s="664">
        <v>269.66521555213495</v>
      </c>
      <c r="X4" s="649" t="s">
        <v>435</v>
      </c>
      <c r="Y4" s="650" t="s">
        <v>622</v>
      </c>
      <c r="Z4" s="665" t="s">
        <v>623</v>
      </c>
    </row>
    <row r="5" spans="1:26" ht="39">
      <c r="A5" s="649">
        <v>14</v>
      </c>
      <c r="B5" s="657" t="s">
        <v>198</v>
      </c>
      <c r="C5" s="649">
        <v>47</v>
      </c>
      <c r="D5" s="649">
        <v>29</v>
      </c>
      <c r="E5" s="658">
        <f>D5/C5</f>
        <v>0.6170212765957447</v>
      </c>
      <c r="F5" s="659">
        <v>1</v>
      </c>
      <c r="G5" s="649">
        <v>8</v>
      </c>
      <c r="H5" s="649" t="s">
        <v>245</v>
      </c>
      <c r="I5" s="776" t="s">
        <v>624</v>
      </c>
      <c r="J5" s="777"/>
      <c r="K5" s="778"/>
      <c r="L5" s="657" t="s">
        <v>625</v>
      </c>
      <c r="M5" s="666">
        <v>0.8509160261088297</v>
      </c>
      <c r="N5" s="661">
        <v>0.5667367865133015</v>
      </c>
      <c r="O5" s="667">
        <f>EXP(M5+1.645*N5)</f>
        <v>5.948850692190755</v>
      </c>
      <c r="P5" s="668" t="s">
        <v>626</v>
      </c>
      <c r="Q5" s="669">
        <v>3.0693556705325213</v>
      </c>
      <c r="R5" s="667">
        <f>EXP(M5+2.326*N5)</f>
        <v>8.75080583483547</v>
      </c>
      <c r="S5" s="668" t="s">
        <v>626</v>
      </c>
      <c r="T5" s="669">
        <v>6.4</v>
      </c>
      <c r="U5" s="667">
        <f>EXP(M5)</f>
        <v>2.3417910114309093</v>
      </c>
      <c r="V5" s="668" t="s">
        <v>626</v>
      </c>
      <c r="W5" s="669">
        <v>1.914231732127998</v>
      </c>
      <c r="X5" s="649" t="s">
        <v>627</v>
      </c>
      <c r="Y5" s="650" t="s">
        <v>628</v>
      </c>
      <c r="Z5" s="670" t="s">
        <v>629</v>
      </c>
    </row>
    <row r="6" spans="1:26" ht="36">
      <c r="A6" s="649" t="s">
        <v>630</v>
      </c>
      <c r="B6" s="657" t="s">
        <v>260</v>
      </c>
      <c r="C6" s="649">
        <v>7</v>
      </c>
      <c r="D6" s="649">
        <v>3</v>
      </c>
      <c r="E6" s="658">
        <f>D6/C6</f>
        <v>0.42857142857142855</v>
      </c>
      <c r="F6" s="649">
        <v>1.4E-08</v>
      </c>
      <c r="G6" s="671">
        <v>4.1369000000000005E-08</v>
      </c>
      <c r="H6" s="672">
        <v>7.1E-08</v>
      </c>
      <c r="I6" s="776" t="s">
        <v>631</v>
      </c>
      <c r="J6" s="777"/>
      <c r="K6" s="778"/>
      <c r="L6" s="657" t="s">
        <v>632</v>
      </c>
      <c r="M6" s="649" t="s">
        <v>633</v>
      </c>
      <c r="N6" s="649" t="s">
        <v>623</v>
      </c>
      <c r="O6" s="673"/>
      <c r="P6" s="674" t="s">
        <v>634</v>
      </c>
      <c r="Q6" s="664"/>
      <c r="R6" s="673"/>
      <c r="S6" s="674" t="s">
        <v>634</v>
      </c>
      <c r="T6" s="664"/>
      <c r="U6" s="673" t="s">
        <v>635</v>
      </c>
      <c r="V6" s="675"/>
      <c r="W6" s="664" t="s">
        <v>623</v>
      </c>
      <c r="X6" s="649" t="s">
        <v>636</v>
      </c>
      <c r="Y6" s="650" t="s">
        <v>637</v>
      </c>
      <c r="Z6" s="650" t="s">
        <v>638</v>
      </c>
    </row>
    <row r="7" spans="1:26" ht="25.5">
      <c r="A7" s="650" t="s">
        <v>639</v>
      </c>
      <c r="B7" s="676" t="s">
        <v>640</v>
      </c>
      <c r="C7" s="676"/>
      <c r="D7" s="676"/>
      <c r="E7" s="676"/>
      <c r="F7" s="677">
        <v>0.00017</v>
      </c>
      <c r="G7" s="678" t="s">
        <v>641</v>
      </c>
      <c r="H7" s="678" t="s">
        <v>641</v>
      </c>
      <c r="I7" s="779" t="s">
        <v>642</v>
      </c>
      <c r="J7" s="780"/>
      <c r="K7" s="781"/>
      <c r="L7" s="676" t="s">
        <v>643</v>
      </c>
      <c r="M7" s="650" t="s">
        <v>623</v>
      </c>
      <c r="N7" s="650" t="s">
        <v>623</v>
      </c>
      <c r="O7" s="679"/>
      <c r="P7" s="680" t="s">
        <v>644</v>
      </c>
      <c r="Q7" s="681"/>
      <c r="R7" s="679"/>
      <c r="S7" s="680" t="s">
        <v>644</v>
      </c>
      <c r="T7" s="681"/>
      <c r="U7" s="679"/>
      <c r="V7" s="680" t="s">
        <v>644</v>
      </c>
      <c r="W7" s="681"/>
      <c r="X7" s="650" t="s">
        <v>645</v>
      </c>
      <c r="Y7" s="650"/>
      <c r="Z7" s="650" t="s">
        <v>623</v>
      </c>
    </row>
    <row r="8" spans="1:26" ht="51">
      <c r="A8" s="650"/>
      <c r="B8" s="682" t="s">
        <v>193</v>
      </c>
      <c r="C8" s="676">
        <v>28</v>
      </c>
      <c r="D8" s="676">
        <v>3</v>
      </c>
      <c r="E8" s="658">
        <f>D8/C8</f>
        <v>0.10714285714285714</v>
      </c>
      <c r="F8" s="677">
        <v>0.025</v>
      </c>
      <c r="G8" s="678">
        <v>0.014</v>
      </c>
      <c r="H8" s="678">
        <v>0.0086</v>
      </c>
      <c r="I8" s="683" t="s">
        <v>646</v>
      </c>
      <c r="J8" s="683"/>
      <c r="K8" s="683"/>
      <c r="L8" s="676" t="s">
        <v>647</v>
      </c>
      <c r="M8" s="650">
        <v>0.0048</v>
      </c>
      <c r="N8" s="650">
        <v>0.0028</v>
      </c>
      <c r="O8" s="684">
        <v>0.0094</v>
      </c>
      <c r="P8" s="685" t="s">
        <v>621</v>
      </c>
      <c r="Q8" s="686">
        <v>0.021</v>
      </c>
      <c r="R8" s="687">
        <v>0.016</v>
      </c>
      <c r="S8" s="688" t="s">
        <v>621</v>
      </c>
      <c r="T8" s="686">
        <v>0.041</v>
      </c>
      <c r="U8" s="684">
        <v>0.0046</v>
      </c>
      <c r="V8" s="685" t="s">
        <v>621</v>
      </c>
      <c r="W8" s="686">
        <v>0.013</v>
      </c>
      <c r="X8" s="650" t="s">
        <v>435</v>
      </c>
      <c r="Y8" s="650" t="s">
        <v>648</v>
      </c>
      <c r="Z8" s="650" t="s">
        <v>623</v>
      </c>
    </row>
    <row r="9" ht="12.75">
      <c r="O9" s="651"/>
    </row>
    <row r="10" spans="1:15" ht="12.75">
      <c r="A10" s="639" t="s">
        <v>649</v>
      </c>
      <c r="O10" s="651"/>
    </row>
    <row r="11" spans="2:15" ht="12.75">
      <c r="B11" s="775" t="s">
        <v>650</v>
      </c>
      <c r="C11" s="775"/>
      <c r="D11" s="775"/>
      <c r="E11" s="775"/>
      <c r="F11" s="775"/>
      <c r="G11" s="775"/>
      <c r="H11" s="775"/>
      <c r="I11" s="775"/>
      <c r="J11" s="775"/>
      <c r="K11" s="775"/>
      <c r="L11" s="775"/>
      <c r="O11" s="651"/>
    </row>
    <row r="12" ht="12.75">
      <c r="O12" s="651"/>
    </row>
    <row r="13" spans="2:15" ht="12.75">
      <c r="B13" t="s">
        <v>651</v>
      </c>
      <c r="O13" s="651"/>
    </row>
    <row r="14" ht="12.75">
      <c r="O14" s="651"/>
    </row>
    <row r="15" spans="2:15" ht="12.75">
      <c r="B15" s="775" t="s">
        <v>652</v>
      </c>
      <c r="C15" s="775"/>
      <c r="D15" s="775"/>
      <c r="E15" s="775"/>
      <c r="F15" s="775"/>
      <c r="G15" s="775"/>
      <c r="H15" s="775"/>
      <c r="I15" s="775"/>
      <c r="J15" s="775"/>
      <c r="K15" s="775"/>
      <c r="L15" s="775"/>
      <c r="O15" s="651"/>
    </row>
    <row r="16" spans="2:15" ht="12.75">
      <c r="B16" s="652"/>
      <c r="C16" s="652"/>
      <c r="D16" s="652"/>
      <c r="E16" s="652"/>
      <c r="F16" s="652"/>
      <c r="G16" s="652"/>
      <c r="H16" s="652"/>
      <c r="I16" s="652"/>
      <c r="J16" s="652"/>
      <c r="K16" s="652"/>
      <c r="L16" s="652"/>
      <c r="O16" s="651"/>
    </row>
    <row r="17" spans="2:15" ht="12.75">
      <c r="B17" t="s">
        <v>653</v>
      </c>
      <c r="O17" s="651"/>
    </row>
    <row r="18" ht="12.75">
      <c r="O18" s="651"/>
    </row>
    <row r="19" spans="1:15" ht="12.75">
      <c r="A19" s="653" t="s">
        <v>245</v>
      </c>
      <c r="B19" t="s">
        <v>654</v>
      </c>
      <c r="O19" s="651"/>
    </row>
    <row r="20" ht="12.75">
      <c r="O20" s="651"/>
    </row>
    <row r="21" spans="1:15" ht="12.75">
      <c r="A21" s="651" t="s">
        <v>634</v>
      </c>
      <c r="B21" t="s">
        <v>655</v>
      </c>
      <c r="O21" s="651"/>
    </row>
    <row r="22" spans="1:15" ht="12.75">
      <c r="A22" s="651"/>
      <c r="O22" s="651"/>
    </row>
    <row r="23" spans="1:15" ht="12.75">
      <c r="A23" s="654" t="s">
        <v>656</v>
      </c>
      <c r="B23" s="775" t="s">
        <v>657</v>
      </c>
      <c r="C23" s="775"/>
      <c r="D23" s="775"/>
      <c r="E23" s="775"/>
      <c r="F23" s="775"/>
      <c r="G23" s="775"/>
      <c r="H23" s="775"/>
      <c r="I23" s="775"/>
      <c r="J23" s="775"/>
      <c r="K23" s="775"/>
      <c r="L23" s="775"/>
      <c r="O23" s="651"/>
    </row>
    <row r="24" spans="1:15" ht="12.75">
      <c r="A24" s="651"/>
      <c r="O24" s="651"/>
    </row>
    <row r="25" spans="1:15" ht="12.75">
      <c r="A25" s="651" t="s">
        <v>658</v>
      </c>
      <c r="B25" t="s">
        <v>659</v>
      </c>
      <c r="O25" s="655"/>
    </row>
    <row r="26" spans="1:11" ht="12.75">
      <c r="A26" s="651"/>
    </row>
    <row r="27" spans="1:15" ht="12.75">
      <c r="A27" s="651" t="s">
        <v>644</v>
      </c>
      <c r="B27" t="s">
        <v>660</v>
      </c>
      <c r="O27" s="655"/>
    </row>
    <row r="28" spans="11:15" ht="12.75">
      <c r="O28" s="655"/>
    </row>
    <row r="29" spans="1:15" ht="12.75">
      <c r="A29" s="654" t="s">
        <v>661</v>
      </c>
      <c r="B29" s="775" t="s">
        <v>662</v>
      </c>
      <c r="C29" s="775"/>
      <c r="D29" s="775"/>
      <c r="E29" s="775"/>
      <c r="F29" s="775"/>
      <c r="G29" s="775"/>
      <c r="H29" s="775"/>
      <c r="I29" s="775"/>
      <c r="J29" s="775"/>
      <c r="K29" s="775"/>
      <c r="L29" s="775"/>
      <c r="O29" s="655"/>
    </row>
    <row r="30" ht="12.75"/>
    <row r="31" spans="1:2" ht="12.75">
      <c r="A31" s="655" t="s">
        <v>663</v>
      </c>
      <c r="B31" t="s">
        <v>664</v>
      </c>
    </row>
    <row r="32" ht="12.75">
      <c r="A32" s="655"/>
    </row>
    <row r="33" spans="1:12" ht="12.75">
      <c r="A33" s="654" t="s">
        <v>665</v>
      </c>
      <c r="B33" s="775" t="s">
        <v>666</v>
      </c>
      <c r="C33" s="775"/>
      <c r="D33" s="775"/>
      <c r="E33" s="775"/>
      <c r="F33" s="775"/>
      <c r="G33" s="775"/>
      <c r="H33" s="775"/>
      <c r="I33" s="775"/>
      <c r="J33" s="775"/>
      <c r="K33" s="775"/>
      <c r="L33" s="775"/>
    </row>
    <row r="35" spans="1:2" ht="12.75">
      <c r="A35" s="651" t="s">
        <v>667</v>
      </c>
      <c r="B35" t="s">
        <v>668</v>
      </c>
    </row>
  </sheetData>
  <mergeCells count="13">
    <mergeCell ref="I3:K3"/>
    <mergeCell ref="O3:Q3"/>
    <mergeCell ref="R3:T3"/>
    <mergeCell ref="U3:W3"/>
    <mergeCell ref="I4:K4"/>
    <mergeCell ref="I5:K5"/>
    <mergeCell ref="I6:K6"/>
    <mergeCell ref="I7:K7"/>
    <mergeCell ref="B33:L33"/>
    <mergeCell ref="B11:L11"/>
    <mergeCell ref="B15:L15"/>
    <mergeCell ref="B23:L23"/>
    <mergeCell ref="B29:L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J1:J27"/>
  <sheetViews>
    <sheetView workbookViewId="0" topLeftCell="A1">
      <selection activeCell="G2" sqref="G2"/>
    </sheetView>
  </sheetViews>
  <sheetFormatPr defaultColWidth="9.140625" defaultRowHeight="12.75"/>
  <sheetData>
    <row r="1" ht="12.75">
      <c r="J1" s="656" t="s">
        <v>670</v>
      </c>
    </row>
    <row r="27" ht="12.75">
      <c r="J27" s="639" t="s">
        <v>669</v>
      </c>
    </row>
  </sheetData>
  <printOptions/>
  <pageMargins left="0.75" right="0.75" top="1" bottom="1" header="0.5" footer="0.5"/>
  <pageSetup horizontalDpi="600" verticalDpi="600" orientation="portrait" r:id="rId6"/>
  <legacyDrawing r:id="rId5"/>
  <oleObjects>
    <oleObject progId="MtbGraph.Document" shapeId="1615731" r:id="rId1"/>
    <oleObject progId="MtbGraph.Document" shapeId="1615733" r:id="rId2"/>
    <oleObject progId="MtbGraph.Document" shapeId="1615735" r:id="rId3"/>
    <oleObject progId="MtbGraph.Document" shapeId="1615736" r:id="rId4"/>
  </oleObjects>
</worksheet>
</file>

<file path=xl/worksheets/sheet2.xml><?xml version="1.0" encoding="utf-8"?>
<worksheet xmlns="http://schemas.openxmlformats.org/spreadsheetml/2006/main" xmlns:r="http://schemas.openxmlformats.org/officeDocument/2006/relationships">
  <sheetPr codeName="Sheet6"/>
  <dimension ref="A1:A1"/>
  <sheetViews>
    <sheetView workbookViewId="0" topLeftCell="A1">
      <selection activeCell="A21" sqref="A21"/>
    </sheetView>
  </sheetViews>
  <sheetFormatPr defaultColWidth="9.140625" defaultRowHeight="12.75"/>
  <cols>
    <col min="1" max="1" width="100.421875" style="0" customWidth="1"/>
  </cols>
  <sheetData>
    <row r="1" ht="12.75">
      <c r="A1" s="356" t="s">
        <v>439</v>
      </c>
    </row>
  </sheetData>
  <printOptions/>
  <pageMargins left="0.75" right="0.75" top="1" bottom="1" header="0.5" footer="0.5"/>
  <pageSetup horizontalDpi="300" verticalDpi="300" orientation="portrait" r:id="rId1"/>
  <headerFooter alignWithMargins="0">
    <oddHeader>&amp;R&amp;12Rodeo Sanitary District
Tentative Order</oddHeader>
  </headerFooter>
</worksheet>
</file>

<file path=xl/worksheets/sheet3.xml><?xml version="1.0" encoding="utf-8"?>
<worksheet xmlns="http://schemas.openxmlformats.org/spreadsheetml/2006/main" xmlns:r="http://schemas.openxmlformats.org/officeDocument/2006/relationships">
  <sheetPr codeName="Sheet1">
    <pageSetUpPr fitToPage="1"/>
  </sheetPr>
  <dimension ref="A1:AM313"/>
  <sheetViews>
    <sheetView tabSelected="1" zoomScale="80" zoomScaleNormal="80" zoomScaleSheetLayoutView="86" workbookViewId="0" topLeftCell="A1">
      <pane xSplit="5" ySplit="8" topLeftCell="S9" activePane="bottomRight" state="frozen"/>
      <selection pane="topLeft" activeCell="A1" sqref="A1"/>
      <selection pane="topRight" activeCell="E1" sqref="E1"/>
      <selection pane="bottomLeft" activeCell="A9" sqref="A9"/>
      <selection pane="bottomRight" activeCell="AH25" sqref="AH25"/>
    </sheetView>
  </sheetViews>
  <sheetFormatPr defaultColWidth="9.140625" defaultRowHeight="12.75"/>
  <cols>
    <col min="1" max="1" width="8.421875" style="0" customWidth="1"/>
    <col min="2" max="2" width="22.8515625" style="0" customWidth="1"/>
    <col min="3" max="3" width="8.57421875" style="0" customWidth="1"/>
    <col min="4" max="4" width="7.7109375" style="0" customWidth="1"/>
    <col min="5" max="5" width="10.421875" style="0" customWidth="1"/>
    <col min="6" max="6" width="7.7109375" style="0" customWidth="1"/>
    <col min="7" max="7" width="7.00390625" style="0" customWidth="1"/>
    <col min="8" max="8" width="6.8515625" style="0" customWidth="1"/>
    <col min="9" max="9" width="7.140625" style="0" customWidth="1"/>
    <col min="10" max="10" width="8.00390625" style="0" customWidth="1"/>
    <col min="11" max="11" width="7.421875" style="0" customWidth="1"/>
    <col min="12" max="12" width="6.28125" style="0" customWidth="1"/>
    <col min="13" max="13" width="6.57421875" style="0" customWidth="1"/>
    <col min="14" max="15" width="6.00390625" style="0" customWidth="1"/>
    <col min="16" max="16" width="6.421875" style="0" customWidth="1"/>
    <col min="17" max="17" width="6.28125" style="0" customWidth="1"/>
    <col min="18" max="18" width="7.57421875" style="0" customWidth="1"/>
    <col min="19" max="19" width="6.00390625" style="0" customWidth="1"/>
    <col min="20" max="20" width="7.140625" style="0" customWidth="1"/>
    <col min="21" max="21" width="8.00390625" style="0" customWidth="1"/>
    <col min="22" max="22" width="8.140625" style="0" customWidth="1"/>
    <col min="23" max="23" width="6.140625" style="21" customWidth="1"/>
    <col min="24" max="24" width="6.28125" style="21" customWidth="1"/>
    <col min="25" max="25" width="6.00390625" style="21" customWidth="1"/>
    <col min="26" max="26" width="6.7109375" style="21" customWidth="1"/>
    <col min="29" max="29" width="7.421875" style="0" customWidth="1"/>
    <col min="30" max="30" width="7.57421875" style="0" customWidth="1"/>
    <col min="31" max="31" width="6.00390625" style="0" customWidth="1"/>
    <col min="32" max="32" width="6.28125" style="0" customWidth="1"/>
    <col min="33" max="33" width="3.57421875" style="0" customWidth="1"/>
  </cols>
  <sheetData>
    <row r="1" spans="2:15" ht="12.75">
      <c r="B1" s="582" t="s">
        <v>283</v>
      </c>
      <c r="C1" s="693" t="str">
        <f>zSalinity</f>
        <v>Estuarine</v>
      </c>
      <c r="D1" s="694"/>
      <c r="E1" s="207"/>
      <c r="F1" s="212"/>
      <c r="G1" s="734" t="s">
        <v>304</v>
      </c>
      <c r="H1" s="735"/>
      <c r="I1" s="735"/>
      <c r="J1" s="736"/>
      <c r="K1" s="737"/>
      <c r="L1" s="739" t="str">
        <f>zSSORegion</f>
        <v>None</v>
      </c>
      <c r="M1" s="740"/>
      <c r="N1" s="740"/>
      <c r="O1" s="741"/>
    </row>
    <row r="2" spans="2:12" ht="12.75">
      <c r="B2" s="582" t="s">
        <v>177</v>
      </c>
      <c r="C2" s="535">
        <f>zHardness</f>
        <v>48</v>
      </c>
      <c r="D2" s="268"/>
      <c r="E2" s="444"/>
      <c r="F2" s="212"/>
      <c r="G2" s="738" t="s">
        <v>299</v>
      </c>
      <c r="H2" s="735"/>
      <c r="I2" s="735"/>
      <c r="J2" s="735"/>
      <c r="K2" s="737"/>
      <c r="L2" s="536" t="str">
        <f>zTranslatorExist</f>
        <v>Y</v>
      </c>
    </row>
    <row r="3" spans="2:31" ht="12.75">
      <c r="B3" s="582" t="s">
        <v>178</v>
      </c>
      <c r="C3" s="535">
        <f>zpH</f>
        <v>8.3</v>
      </c>
      <c r="D3" s="269"/>
      <c r="E3" s="444"/>
      <c r="F3" s="212"/>
      <c r="G3" s="734" t="s">
        <v>303</v>
      </c>
      <c r="H3" s="735"/>
      <c r="I3" s="735"/>
      <c r="J3" s="735"/>
      <c r="K3" s="737"/>
      <c r="L3" s="742">
        <f>IF(zDateBeginData="","beginning",zDateBeginData)</f>
        <v>36892</v>
      </c>
      <c r="M3" s="743"/>
      <c r="N3" s="537" t="s">
        <v>300</v>
      </c>
      <c r="O3" s="718">
        <f>IF(zDateEndData="","end",zDateEndData)</f>
        <v>38808</v>
      </c>
      <c r="P3" s="719"/>
      <c r="Q3" s="283"/>
      <c r="R3" s="177"/>
      <c r="S3" s="177"/>
      <c r="T3" s="177"/>
      <c r="U3" s="177"/>
      <c r="V3" s="177"/>
      <c r="W3" s="178"/>
      <c r="X3" s="178"/>
      <c r="Y3" s="178"/>
      <c r="Z3" s="178"/>
      <c r="AA3" s="177"/>
      <c r="AB3" s="177"/>
      <c r="AC3" s="177"/>
      <c r="AD3" s="177"/>
      <c r="AE3" s="177"/>
    </row>
    <row r="4" spans="2:34" ht="13.5" thickBot="1">
      <c r="B4" s="270"/>
      <c r="C4" s="271"/>
      <c r="D4" s="271"/>
      <c r="E4" s="272"/>
      <c r="F4" s="207"/>
      <c r="G4" s="9"/>
      <c r="H4" s="9"/>
      <c r="I4" s="9"/>
      <c r="J4" s="9"/>
      <c r="AH4" s="227" t="s">
        <v>513</v>
      </c>
    </row>
    <row r="5" spans="1:39" ht="13.5" customHeight="1" thickBot="1" thickTop="1">
      <c r="A5" s="23"/>
      <c r="B5" s="23"/>
      <c r="C5" s="23"/>
      <c r="D5" s="23"/>
      <c r="E5" s="720" t="s">
        <v>295</v>
      </c>
      <c r="F5" s="209"/>
      <c r="G5" s="210"/>
      <c r="H5" s="210"/>
      <c r="I5" s="211"/>
      <c r="J5" s="561" t="s">
        <v>256</v>
      </c>
      <c r="K5" s="562"/>
      <c r="L5" s="731" t="s">
        <v>290</v>
      </c>
      <c r="M5" s="732"/>
      <c r="N5" s="732"/>
      <c r="O5" s="732"/>
      <c r="P5" s="733"/>
      <c r="Q5" s="723" t="s">
        <v>37</v>
      </c>
      <c r="R5" s="724"/>
      <c r="S5" s="724"/>
      <c r="T5" s="724"/>
      <c r="U5" s="724"/>
      <c r="V5" s="725"/>
      <c r="AH5" s="695" t="s">
        <v>294</v>
      </c>
      <c r="AI5" s="696"/>
      <c r="AJ5" s="696"/>
      <c r="AK5" s="696"/>
      <c r="AL5" s="696"/>
      <c r="AM5" s="697"/>
    </row>
    <row r="6" spans="1:39" s="22" customFormat="1" ht="24.75" customHeight="1" thickBot="1" thickTop="1">
      <c r="A6" s="231"/>
      <c r="B6" s="231"/>
      <c r="C6" s="231"/>
      <c r="D6" s="231"/>
      <c r="E6" s="721"/>
      <c r="F6" s="207"/>
      <c r="G6" s="710" t="s">
        <v>473</v>
      </c>
      <c r="H6" s="711"/>
      <c r="I6" s="712"/>
      <c r="J6" s="713" t="str">
        <f>zSSORegion</f>
        <v>None</v>
      </c>
      <c r="K6" s="714"/>
      <c r="L6" s="726" t="s">
        <v>179</v>
      </c>
      <c r="M6" s="727"/>
      <c r="N6" s="728" t="s">
        <v>241</v>
      </c>
      <c r="O6" s="729"/>
      <c r="P6" s="700" t="s">
        <v>296</v>
      </c>
      <c r="Q6" s="726" t="s">
        <v>288</v>
      </c>
      <c r="R6" s="729"/>
      <c r="S6" s="728" t="s">
        <v>287</v>
      </c>
      <c r="T6" s="729"/>
      <c r="U6" s="728" t="s">
        <v>180</v>
      </c>
      <c r="V6" s="730"/>
      <c r="W6" s="704" t="s">
        <v>216</v>
      </c>
      <c r="X6" s="705"/>
      <c r="Y6" s="705"/>
      <c r="Z6" s="706"/>
      <c r="AA6" s="707" t="s">
        <v>40</v>
      </c>
      <c r="AB6" s="708"/>
      <c r="AC6" s="708"/>
      <c r="AD6" s="709"/>
      <c r="AE6" s="702" t="s">
        <v>238</v>
      </c>
      <c r="AF6" s="703"/>
      <c r="AH6" s="715" t="s">
        <v>291</v>
      </c>
      <c r="AI6" s="689"/>
      <c r="AJ6" s="716" t="s">
        <v>292</v>
      </c>
      <c r="AK6" s="717"/>
      <c r="AL6" s="698" t="s">
        <v>293</v>
      </c>
      <c r="AM6" s="699"/>
    </row>
    <row r="7" spans="1:39" ht="37.5" customHeight="1" thickBot="1" thickTop="1">
      <c r="A7" s="572" t="s">
        <v>278</v>
      </c>
      <c r="B7" s="573" t="s">
        <v>146</v>
      </c>
      <c r="C7" s="574" t="s">
        <v>279</v>
      </c>
      <c r="D7" s="575" t="s">
        <v>474</v>
      </c>
      <c r="E7" s="722"/>
      <c r="F7" s="575" t="s">
        <v>432</v>
      </c>
      <c r="G7" s="558" t="s">
        <v>515</v>
      </c>
      <c r="H7" s="559" t="s">
        <v>528</v>
      </c>
      <c r="I7" s="560" t="s">
        <v>516</v>
      </c>
      <c r="J7" s="563" t="s">
        <v>257</v>
      </c>
      <c r="K7" s="564" t="s">
        <v>258</v>
      </c>
      <c r="L7" s="565" t="s">
        <v>257</v>
      </c>
      <c r="M7" s="564" t="s">
        <v>258</v>
      </c>
      <c r="N7" s="566" t="s">
        <v>257</v>
      </c>
      <c r="O7" s="564" t="s">
        <v>258</v>
      </c>
      <c r="P7" s="701"/>
      <c r="Q7" s="565" t="s">
        <v>181</v>
      </c>
      <c r="R7" s="564" t="s">
        <v>182</v>
      </c>
      <c r="S7" s="566" t="s">
        <v>181</v>
      </c>
      <c r="T7" s="564" t="s">
        <v>182</v>
      </c>
      <c r="U7" s="566" t="s">
        <v>183</v>
      </c>
      <c r="V7" s="567" t="s">
        <v>41</v>
      </c>
      <c r="W7" s="576" t="s">
        <v>184</v>
      </c>
      <c r="X7" s="577" t="s">
        <v>185</v>
      </c>
      <c r="Y7" s="577" t="s">
        <v>186</v>
      </c>
      <c r="Z7" s="578" t="s">
        <v>187</v>
      </c>
      <c r="AA7" s="565" t="s">
        <v>42</v>
      </c>
      <c r="AB7" s="564" t="s">
        <v>43</v>
      </c>
      <c r="AC7" s="564" t="s">
        <v>44</v>
      </c>
      <c r="AD7" s="579" t="s">
        <v>45</v>
      </c>
      <c r="AE7" s="580" t="s">
        <v>239</v>
      </c>
      <c r="AF7" s="581" t="s">
        <v>240</v>
      </c>
      <c r="AH7" s="583" t="s">
        <v>257</v>
      </c>
      <c r="AI7" s="567" t="s">
        <v>258</v>
      </c>
      <c r="AJ7" s="584" t="s">
        <v>257</v>
      </c>
      <c r="AK7" s="567" t="s">
        <v>258</v>
      </c>
      <c r="AL7" s="584" t="s">
        <v>257</v>
      </c>
      <c r="AM7" s="579" t="s">
        <v>258</v>
      </c>
    </row>
    <row r="8" spans="1:39" s="3" customFormat="1" ht="15" customHeight="1" thickBot="1">
      <c r="A8" s="588"/>
      <c r="B8" s="589"/>
      <c r="C8" s="590"/>
      <c r="D8" s="590"/>
      <c r="E8" s="591" t="s">
        <v>188</v>
      </c>
      <c r="F8" s="590"/>
      <c r="G8" s="568" t="s">
        <v>188</v>
      </c>
      <c r="H8" s="568" t="s">
        <v>188</v>
      </c>
      <c r="I8" s="568" t="s">
        <v>188</v>
      </c>
      <c r="J8" s="568" t="s">
        <v>188</v>
      </c>
      <c r="K8" s="569" t="s">
        <v>188</v>
      </c>
      <c r="L8" s="568" t="s">
        <v>188</v>
      </c>
      <c r="M8" s="570" t="s">
        <v>188</v>
      </c>
      <c r="N8" s="569" t="s">
        <v>188</v>
      </c>
      <c r="O8" s="570" t="s">
        <v>188</v>
      </c>
      <c r="P8" s="570" t="s">
        <v>188</v>
      </c>
      <c r="Q8" s="568" t="s">
        <v>188</v>
      </c>
      <c r="R8" s="570" t="s">
        <v>188</v>
      </c>
      <c r="S8" s="569" t="s">
        <v>188</v>
      </c>
      <c r="T8" s="570" t="s">
        <v>188</v>
      </c>
      <c r="U8" s="569" t="s">
        <v>188</v>
      </c>
      <c r="V8" s="571" t="s">
        <v>188</v>
      </c>
      <c r="W8" s="592"/>
      <c r="X8" s="593"/>
      <c r="Y8" s="593"/>
      <c r="Z8" s="594"/>
      <c r="AA8" s="568"/>
      <c r="AB8" s="570"/>
      <c r="AC8" s="570"/>
      <c r="AD8" s="587"/>
      <c r="AE8" s="595"/>
      <c r="AF8" s="596"/>
      <c r="AH8" s="568" t="s">
        <v>188</v>
      </c>
      <c r="AI8" s="585" t="s">
        <v>188</v>
      </c>
      <c r="AJ8" s="586" t="s">
        <v>188</v>
      </c>
      <c r="AK8" s="571" t="s">
        <v>188</v>
      </c>
      <c r="AL8" s="586" t="s">
        <v>188</v>
      </c>
      <c r="AM8" s="587" t="s">
        <v>188</v>
      </c>
    </row>
    <row r="9" spans="1:39" ht="12.75">
      <c r="A9" s="232">
        <v>1</v>
      </c>
      <c r="B9" s="109" t="s">
        <v>46</v>
      </c>
      <c r="C9" s="613" t="s">
        <v>48</v>
      </c>
      <c r="D9" s="613" t="s">
        <v>48</v>
      </c>
      <c r="E9" s="146">
        <f>IF(MIN(G9:I9)&gt;0,MIN(G9:I9),"No Criteria")</f>
        <v>4300</v>
      </c>
      <c r="F9" s="243" t="str">
        <f>IF(MIN(J9:K9)=E9,"BP SSO",IF(MIN(L9:M9)=E9,"BP FW",IF(MIN(N9:O9)=E9,"BP SW",IF(P9=E9,"BP HH",IF(MIN(Q9:R9)=E9,"CTR FW",IF(MIN(S9:T9)=E9,"CTR SW",IF(MIN(U9:V9)=E9,"CTR HH","")))))))</f>
        <v>CTR HH</v>
      </c>
      <c r="G9" s="214">
        <f aca="true" t="shared" si="0" ref="G9:G41">IF(J9&lt;&gt;"",J9,IF(zSSORegion&lt;&gt;"South Dumbarton Bridge",IF(zSalinity="Freshwater",IF(MIN(L9,Q9)&gt;0,MIN(L9,Q9),""),IF(zSalinity="Saltwater",IF(MIN(N9,S9)&gt;0,MIN(N9,S9),""),IF(MIN(L9,N9,Q9,S9)&gt;0,MIN(L9,N9,Q9,S9),""))),IF(zSalinity="Freshwater",IF(Q9&gt;0,Q9,""),IF(zSalinity="Saltwater",IF(S9&gt;0,S9,""),IF(MIN(Q9,S9)&gt;0,MIN(Q9,S9),"")))))</f>
      </c>
      <c r="H9" s="214">
        <f aca="true" t="shared" si="1" ref="H9:H41">IF(K9&lt;&gt;"",K9,IF(zSSORegion&lt;&gt;"South Dumbarton Bridge",IF(zSalinity="Freshwater",IF(MIN(M9,R9)&gt;0,MIN(M9,R9),""),IF(zSalinity="Saltwater",IF(MIN(O9,T9)&gt;0,MIN(O9,T9),""),IF(MIN(M9,O9,R9,T9)&gt;0,MIN(M9,O9,R9,T9),""))),IF(zSalinity="Freshwater",IF(R9&gt;0,R9,""),IF(zSalinity="Saltwater",IF(T9&gt;0,T9,""),IF(MIN(R9,T9)&gt;0,MIN(R9,T9),"")))))</f>
      </c>
      <c r="I9" s="224">
        <f aca="true" t="shared" si="2" ref="I9:I41">IF(zSSORegion&lt;&gt;"South Dumbarton Bridge",IF(MIN(P9,U9,V9)&gt;0,MIN(P9,U9,V9),""),IF(MIN(U9,V9)&gt;0,MIN(U9,V9),""))</f>
        <v>4300</v>
      </c>
      <c r="J9" s="422">
        <f aca="true" t="shared" si="3" ref="J9:J17">IF(AND(zSSORegion="South Dumbarton Bridge",AH9&lt;&gt;""),AH9,IF(AND(zSSORegion="North Dumbarton Bridge",AJ9&lt;&gt;""),AJ9,""))</f>
      </c>
      <c r="K9" s="421">
        <f aca="true" t="shared" si="4" ref="K9:K17">IF(AND(zSSORegion="South Dumbarton Bridge",AI9&lt;&gt;""),AI9,IF(AND(zSSORegion="North Dumbarton Bridge",AK9&lt;&gt;""),AK9,""))</f>
      </c>
      <c r="L9" s="113"/>
      <c r="M9" s="114"/>
      <c r="N9" s="115"/>
      <c r="O9" s="116"/>
      <c r="P9" s="119"/>
      <c r="Q9" s="113"/>
      <c r="R9" s="114"/>
      <c r="S9" s="115"/>
      <c r="T9" s="116"/>
      <c r="U9" s="96"/>
      <c r="V9" s="120">
        <v>4300</v>
      </c>
      <c r="W9" s="25"/>
      <c r="X9" s="26"/>
      <c r="Y9" s="26"/>
      <c r="Z9" s="27"/>
      <c r="AA9" s="24"/>
      <c r="AB9" s="28"/>
      <c r="AC9" s="28"/>
      <c r="AD9" s="2"/>
      <c r="AE9" s="277"/>
      <c r="AF9" s="278"/>
      <c r="AH9" s="313"/>
      <c r="AI9" s="314"/>
      <c r="AJ9" s="315"/>
      <c r="AK9" s="314"/>
      <c r="AL9" s="316"/>
      <c r="AM9" s="317"/>
    </row>
    <row r="10" spans="1:39" ht="12.75">
      <c r="A10" s="233">
        <v>2</v>
      </c>
      <c r="B10" s="110" t="s">
        <v>147</v>
      </c>
      <c r="C10" s="613" t="s">
        <v>48</v>
      </c>
      <c r="D10" s="613" t="s">
        <v>48</v>
      </c>
      <c r="E10" s="147">
        <f aca="true" t="shared" si="5" ref="E10:E74">IF(MIN(G10:I10)&gt;0,MIN(G10:I10),"No Criteria")</f>
        <v>36</v>
      </c>
      <c r="F10" s="244" t="str">
        <f aca="true" t="shared" si="6" ref="F10:F18">IF(MIN(J10:K10)=E10,"BP SSO",IF(MIN(L10:M10)=E10,"BP FW",IF(MIN(N10:O10)=E10,"BP SW",IF(P10=E10,"BP HH",IF(MIN(Q10:R10)=E10,"CTR FW",IF(MIN(S10:T10)=E10,"CTR SW",IF(MIN(U10:V10)=E10,"CTR HH","")))))))</f>
        <v>BP SW</v>
      </c>
      <c r="G10" s="214">
        <f t="shared" si="0"/>
        <v>69</v>
      </c>
      <c r="H10" s="215">
        <f t="shared" si="1"/>
        <v>36</v>
      </c>
      <c r="I10" s="216">
        <f t="shared" si="2"/>
      </c>
      <c r="J10" s="422">
        <f t="shared" si="3"/>
      </c>
      <c r="K10" s="421">
        <f t="shared" si="4"/>
      </c>
      <c r="L10" s="281">
        <f>Q10</f>
        <v>340</v>
      </c>
      <c r="M10" s="282">
        <f>R10</f>
        <v>150</v>
      </c>
      <c r="N10" s="258">
        <f>S10</f>
        <v>69</v>
      </c>
      <c r="O10" s="259">
        <f>T10</f>
        <v>36</v>
      </c>
      <c r="P10" s="248"/>
      <c r="Q10" s="264">
        <f>340/AA10</f>
        <v>340</v>
      </c>
      <c r="R10" s="267">
        <f>150/AB10</f>
        <v>150</v>
      </c>
      <c r="S10" s="265">
        <f>69/AC10</f>
        <v>69</v>
      </c>
      <c r="T10" s="266">
        <f>36/AD10</f>
        <v>36</v>
      </c>
      <c r="U10" s="97"/>
      <c r="V10" s="121"/>
      <c r="W10" s="30"/>
      <c r="X10" s="31"/>
      <c r="Y10" s="31"/>
      <c r="Z10" s="32"/>
      <c r="AA10" s="40">
        <v>1</v>
      </c>
      <c r="AB10" s="38">
        <v>1</v>
      </c>
      <c r="AC10" s="38">
        <v>1</v>
      </c>
      <c r="AD10" s="39">
        <v>1</v>
      </c>
      <c r="AE10" s="40"/>
      <c r="AF10" s="39"/>
      <c r="AH10" s="318"/>
      <c r="AI10" s="319"/>
      <c r="AJ10" s="320"/>
      <c r="AK10" s="319"/>
      <c r="AL10" s="321"/>
      <c r="AM10" s="322"/>
    </row>
    <row r="11" spans="1:39" ht="12.75">
      <c r="A11" s="233">
        <v>3</v>
      </c>
      <c r="B11" s="110" t="s">
        <v>189</v>
      </c>
      <c r="C11" s="613" t="s">
        <v>48</v>
      </c>
      <c r="D11" s="613" t="s">
        <v>48</v>
      </c>
      <c r="E11" s="148" t="str">
        <f t="shared" si="5"/>
        <v>No Criteria</v>
      </c>
      <c r="F11" s="245">
        <f t="shared" si="6"/>
      </c>
      <c r="G11" s="214">
        <f t="shared" si="0"/>
      </c>
      <c r="H11" s="215">
        <f t="shared" si="1"/>
      </c>
      <c r="I11" s="216">
        <f t="shared" si="2"/>
      </c>
      <c r="J11" s="422">
        <f t="shared" si="3"/>
      </c>
      <c r="K11" s="421">
        <f t="shared" si="4"/>
      </c>
      <c r="L11" s="113"/>
      <c r="M11" s="114"/>
      <c r="N11" s="115"/>
      <c r="O11" s="116"/>
      <c r="P11" s="248"/>
      <c r="Q11" s="254"/>
      <c r="R11" s="255"/>
      <c r="S11" s="256"/>
      <c r="T11" s="257"/>
      <c r="U11" s="98"/>
      <c r="V11" s="121"/>
      <c r="W11" s="30"/>
      <c r="X11" s="31"/>
      <c r="Y11" s="31"/>
      <c r="Z11" s="32"/>
      <c r="AA11" s="29"/>
      <c r="AB11" s="33"/>
      <c r="AC11" s="33"/>
      <c r="AD11" s="4"/>
      <c r="AE11" s="40"/>
      <c r="AF11" s="39"/>
      <c r="AH11" s="318"/>
      <c r="AI11" s="319"/>
      <c r="AJ11" s="320"/>
      <c r="AK11" s="319"/>
      <c r="AL11" s="321"/>
      <c r="AM11" s="323"/>
    </row>
    <row r="12" spans="1:39" ht="12.75">
      <c r="A12" s="234">
        <v>4</v>
      </c>
      <c r="B12" s="111" t="s">
        <v>190</v>
      </c>
      <c r="C12" s="613" t="s">
        <v>48</v>
      </c>
      <c r="D12" s="613" t="s">
        <v>48</v>
      </c>
      <c r="E12" s="163">
        <f t="shared" si="5"/>
        <v>1.3835698872200755</v>
      </c>
      <c r="F12" s="245" t="str">
        <f t="shared" si="6"/>
        <v>BP FW</v>
      </c>
      <c r="G12" s="214">
        <f t="shared" si="0"/>
        <v>1.9739068280029177</v>
      </c>
      <c r="H12" s="215">
        <f t="shared" si="1"/>
        <v>1.3835698872200755</v>
      </c>
      <c r="I12" s="216">
        <f t="shared" si="2"/>
      </c>
      <c r="J12" s="422">
        <f t="shared" si="3"/>
      </c>
      <c r="K12" s="421">
        <f t="shared" si="4"/>
      </c>
      <c r="L12" s="254">
        <f>Q12</f>
        <v>1.9739068280029177</v>
      </c>
      <c r="M12" s="255">
        <f>R12</f>
        <v>1.3835698872200755</v>
      </c>
      <c r="N12" s="256">
        <f>S12</f>
        <v>42.25352112676056</v>
      </c>
      <c r="O12" s="257">
        <f>T12</f>
        <v>9.356136820925554</v>
      </c>
      <c r="P12" s="249"/>
      <c r="Q12" s="260">
        <f>IF(OR(zTranslatorExist="N",AE12=""),EXP(W12*(LN(zHardness))+X12),(EXP(W12*(LN(zHardness))+X12))*(AA12/AE12))</f>
        <v>1.9739068280029177</v>
      </c>
      <c r="R12" s="261">
        <f>IF(OR(zTranslatorExist="N",AF12=""),EXP(Y12*(LN(zHardness))+Z12),(EXP(Y12*(LN(zHardness))+Z12))*(AB12/AF12))</f>
        <v>1.3835698872200755</v>
      </c>
      <c r="S12" s="262">
        <f>42/AC12</f>
        <v>42.25352112676056</v>
      </c>
      <c r="T12" s="263">
        <f>9.3/AD12</f>
        <v>9.356136820925554</v>
      </c>
      <c r="U12" s="99"/>
      <c r="V12" s="122"/>
      <c r="W12" s="37">
        <v>1.128</v>
      </c>
      <c r="X12" s="35">
        <v>-3.6867</v>
      </c>
      <c r="Y12" s="35">
        <v>0.7852</v>
      </c>
      <c r="Z12" s="87">
        <v>-2.715</v>
      </c>
      <c r="AA12" s="37">
        <f>1.136672-((LN(zHardness))*0.041838)</f>
        <v>0.9747086921056356</v>
      </c>
      <c r="AB12" s="20">
        <f>1.101672-((LN(zHardness))*0.041838)</f>
        <v>0.9397086921056357</v>
      </c>
      <c r="AC12" s="38">
        <v>0.994</v>
      </c>
      <c r="AD12" s="39">
        <v>0.994</v>
      </c>
      <c r="AE12" s="40"/>
      <c r="AF12" s="39"/>
      <c r="AH12" s="228"/>
      <c r="AI12" s="230"/>
      <c r="AJ12" s="229"/>
      <c r="AK12" s="230"/>
      <c r="AL12" s="324"/>
      <c r="AM12" s="325"/>
    </row>
    <row r="13" spans="1:39" ht="12.75">
      <c r="A13" s="235">
        <v>5.1</v>
      </c>
      <c r="B13" s="111" t="s">
        <v>244</v>
      </c>
      <c r="C13" s="613" t="s">
        <v>48</v>
      </c>
      <c r="D13" s="613" t="s">
        <v>48</v>
      </c>
      <c r="E13" s="149">
        <f t="shared" si="5"/>
        <v>113.46717952609072</v>
      </c>
      <c r="F13" s="245" t="str">
        <f t="shared" si="6"/>
        <v>BP FW</v>
      </c>
      <c r="G13" s="214">
        <f t="shared" si="0"/>
        <v>951.9510619292594</v>
      </c>
      <c r="H13" s="215">
        <f t="shared" si="1"/>
        <v>113.46717952609072</v>
      </c>
      <c r="I13" s="216">
        <f t="shared" si="2"/>
      </c>
      <c r="J13" s="422">
        <f t="shared" si="3"/>
      </c>
      <c r="K13" s="421">
        <f t="shared" si="4"/>
      </c>
      <c r="L13" s="281">
        <f aca="true" t="shared" si="7" ref="L13:M16">Q13</f>
        <v>951.9510619292594</v>
      </c>
      <c r="M13" s="282">
        <f t="shared" si="7"/>
        <v>113.46717952609072</v>
      </c>
      <c r="N13" s="115"/>
      <c r="O13" s="116"/>
      <c r="P13" s="249"/>
      <c r="Q13" s="264">
        <f>IF(OR(zTranslatorExist="N",AE13=""),EXP(W13*(LN(zHardness))+X13),(EXP(W13*(LN(zHardness))+X13))*(AA13/AE13))</f>
        <v>951.9510619292594</v>
      </c>
      <c r="R13" s="267">
        <f>IF(OR(zTranslatorExist="N",AF13=""),EXP(Y13*(LN(zHardness))+Z13),(EXP(Y13*(LN(zHardness))+Z13))*(AB13/AF13))</f>
        <v>113.46717952609072</v>
      </c>
      <c r="S13" s="256"/>
      <c r="T13" s="257"/>
      <c r="U13" s="100"/>
      <c r="V13" s="122"/>
      <c r="W13" s="34">
        <v>0.819</v>
      </c>
      <c r="X13" s="35">
        <v>3.688</v>
      </c>
      <c r="Y13" s="35">
        <v>0.819</v>
      </c>
      <c r="Z13" s="36">
        <v>1.561</v>
      </c>
      <c r="AA13" s="40">
        <v>0.316</v>
      </c>
      <c r="AB13" s="38">
        <v>0.86</v>
      </c>
      <c r="AC13" s="38"/>
      <c r="AD13" s="39"/>
      <c r="AE13" s="40"/>
      <c r="AF13" s="39"/>
      <c r="AH13" s="228"/>
      <c r="AI13" s="230"/>
      <c r="AJ13" s="229"/>
      <c r="AK13" s="230"/>
      <c r="AL13" s="324"/>
      <c r="AM13" s="325"/>
    </row>
    <row r="14" spans="1:39" ht="12.75">
      <c r="A14" s="235">
        <v>5.2</v>
      </c>
      <c r="B14" s="112" t="s">
        <v>243</v>
      </c>
      <c r="C14" s="613" t="s">
        <v>48</v>
      </c>
      <c r="D14" s="613" t="s">
        <v>48</v>
      </c>
      <c r="E14" s="149">
        <f t="shared" si="5"/>
        <v>11</v>
      </c>
      <c r="F14" s="245" t="str">
        <f t="shared" si="6"/>
        <v>BP FW</v>
      </c>
      <c r="G14" s="214">
        <f t="shared" si="0"/>
        <v>16.293279022403258</v>
      </c>
      <c r="H14" s="215">
        <f t="shared" si="1"/>
        <v>11</v>
      </c>
      <c r="I14" s="216">
        <f t="shared" si="2"/>
      </c>
      <c r="J14" s="422">
        <f t="shared" si="3"/>
      </c>
      <c r="K14" s="421">
        <f t="shared" si="4"/>
      </c>
      <c r="L14" s="254">
        <f t="shared" si="7"/>
        <v>16.293279022403258</v>
      </c>
      <c r="M14" s="255">
        <f t="shared" si="7"/>
        <v>11</v>
      </c>
      <c r="N14" s="258">
        <f>S14</f>
        <v>1107.7542799597181</v>
      </c>
      <c r="O14" s="259">
        <f>T14</f>
        <v>50.35246727089628</v>
      </c>
      <c r="P14" s="249"/>
      <c r="Q14" s="260">
        <f>16/AA14</f>
        <v>16.293279022403258</v>
      </c>
      <c r="R14" s="255">
        <v>11</v>
      </c>
      <c r="S14" s="265">
        <f>1100/AC14</f>
        <v>1107.7542799597181</v>
      </c>
      <c r="T14" s="266">
        <f>50/AD14</f>
        <v>50.35246727089628</v>
      </c>
      <c r="U14" s="101"/>
      <c r="V14" s="123"/>
      <c r="W14" s="34"/>
      <c r="X14" s="35"/>
      <c r="Y14" s="35"/>
      <c r="Z14" s="36"/>
      <c r="AA14" s="40">
        <v>0.982</v>
      </c>
      <c r="AB14" s="38">
        <v>0.962</v>
      </c>
      <c r="AC14" s="38">
        <v>0.993</v>
      </c>
      <c r="AD14" s="39">
        <v>0.993</v>
      </c>
      <c r="AE14" s="40"/>
      <c r="AF14" s="39"/>
      <c r="AH14" s="228"/>
      <c r="AI14" s="230"/>
      <c r="AJ14" s="229"/>
      <c r="AK14" s="230"/>
      <c r="AL14" s="324"/>
      <c r="AM14" s="326"/>
    </row>
    <row r="15" spans="1:39" ht="12.75">
      <c r="A15" s="234">
        <v>6</v>
      </c>
      <c r="B15" s="111" t="s">
        <v>191</v>
      </c>
      <c r="C15" s="613" t="s">
        <v>48</v>
      </c>
      <c r="D15" s="613" t="s">
        <v>48</v>
      </c>
      <c r="E15" s="149">
        <f t="shared" si="5"/>
        <v>7.16</v>
      </c>
      <c r="F15" s="245" t="str">
        <f t="shared" si="6"/>
        <v>BP SW</v>
      </c>
      <c r="G15" s="214">
        <f t="shared" si="0"/>
        <v>7.16</v>
      </c>
      <c r="H15" s="215">
        <f t="shared" si="1"/>
        <v>8.16</v>
      </c>
      <c r="I15" s="216">
        <f t="shared" si="2"/>
      </c>
      <c r="J15" s="422">
        <f t="shared" si="3"/>
      </c>
      <c r="K15" s="421">
        <f t="shared" si="4"/>
      </c>
      <c r="L15" s="254">
        <f t="shared" si="7"/>
        <v>10.04526284379562</v>
      </c>
      <c r="M15" s="255">
        <f t="shared" si="7"/>
        <v>12.587487884758154</v>
      </c>
      <c r="N15" s="115">
        <v>7.16</v>
      </c>
      <c r="O15" s="116">
        <v>8.16</v>
      </c>
      <c r="P15" s="250"/>
      <c r="Q15" s="260">
        <f>IF(OR(zTranslatorExist="N",AE15=""),EXP(W15*(LN(zHardness))+X15),(EXP(W15*(LN(zHardness))+X15))*(AA15/AE15))</f>
        <v>10.04526284379562</v>
      </c>
      <c r="R15" s="261">
        <f>IF(OR(zTranslatorExist="N",AF15=""),EXP(Y15*(LN(zHardness))+Z15),(EXP(Y15*(LN(zHardness))+Z15))*(AB15/AF15))</f>
        <v>12.587487884758154</v>
      </c>
      <c r="S15" s="256">
        <v>7.16</v>
      </c>
      <c r="T15" s="257">
        <v>8.16</v>
      </c>
      <c r="U15" s="100"/>
      <c r="V15" s="122"/>
      <c r="W15" s="34">
        <v>0.9422</v>
      </c>
      <c r="X15" s="35">
        <v>-1.7</v>
      </c>
      <c r="Y15" s="35">
        <v>0.8545</v>
      </c>
      <c r="Z15" s="36">
        <v>-1.702</v>
      </c>
      <c r="AA15" s="40">
        <v>0.96</v>
      </c>
      <c r="AB15" s="38">
        <v>0.96</v>
      </c>
      <c r="AC15" s="38">
        <v>0.83</v>
      </c>
      <c r="AD15" s="39">
        <v>0.83</v>
      </c>
      <c r="AE15" s="40">
        <v>0.67</v>
      </c>
      <c r="AF15" s="39">
        <v>0.38</v>
      </c>
      <c r="AH15" s="228">
        <v>10.8</v>
      </c>
      <c r="AI15" s="230">
        <v>6.9</v>
      </c>
      <c r="AJ15" s="229"/>
      <c r="AK15" s="230"/>
      <c r="AL15" s="327"/>
      <c r="AM15" s="326"/>
    </row>
    <row r="16" spans="1:39" ht="12.75">
      <c r="A16" s="234">
        <v>7</v>
      </c>
      <c r="B16" s="111" t="s">
        <v>192</v>
      </c>
      <c r="C16" s="613" t="s">
        <v>48</v>
      </c>
      <c r="D16" s="613" t="s">
        <v>48</v>
      </c>
      <c r="E16" s="147">
        <f t="shared" si="5"/>
        <v>1.249869176310832</v>
      </c>
      <c r="F16" s="245" t="str">
        <f t="shared" si="6"/>
        <v>BP FW</v>
      </c>
      <c r="G16" s="214">
        <f t="shared" si="0"/>
        <v>32.073780415704896</v>
      </c>
      <c r="H16" s="215">
        <f t="shared" si="1"/>
        <v>1.249869176310832</v>
      </c>
      <c r="I16" s="216">
        <f t="shared" si="2"/>
      </c>
      <c r="J16" s="422">
        <f t="shared" si="3"/>
      </c>
      <c r="K16" s="421">
        <f t="shared" si="4"/>
      </c>
      <c r="L16" s="254">
        <f t="shared" si="7"/>
        <v>32.073780415704896</v>
      </c>
      <c r="M16" s="255">
        <f t="shared" si="7"/>
        <v>1.249869176310832</v>
      </c>
      <c r="N16" s="258">
        <f>S16</f>
        <v>220.82018927444796</v>
      </c>
      <c r="O16" s="257">
        <f>T16</f>
        <v>8.517350157728707</v>
      </c>
      <c r="P16" s="104"/>
      <c r="Q16" s="260">
        <f>IF(OR(zTranslatorExist="N",AE16=""),EXP(W16*(LN(zHardness))+X16),(EXP(W16*(LN(zHardness))+X16))*(AA16/AE16))</f>
        <v>32.073780415704896</v>
      </c>
      <c r="R16" s="261">
        <f>IF(OR(zTranslatorExist="N",AF16=""),EXP(Y16*(LN(zHardness))+Z16),(EXP(Y16*(LN(zHardness))+Z16))*(AB16/AF16))</f>
        <v>1.249869176310832</v>
      </c>
      <c r="S16" s="265">
        <f>210/AC16</f>
        <v>220.82018927444796</v>
      </c>
      <c r="T16" s="263">
        <f>8.1/AD16</f>
        <v>8.517350157728707</v>
      </c>
      <c r="U16" s="99"/>
      <c r="V16" s="122"/>
      <c r="W16" s="34">
        <v>1.273</v>
      </c>
      <c r="X16" s="35">
        <v>-1.46</v>
      </c>
      <c r="Y16" s="35">
        <v>1.273</v>
      </c>
      <c r="Z16" s="36">
        <v>-4.705</v>
      </c>
      <c r="AA16" s="37">
        <f>1.46203-((LN(zHardness))*0.145712)</f>
        <v>0.8979495582985892</v>
      </c>
      <c r="AB16" s="20">
        <f>1.46203-((LN(zHardness))*0.145712)</f>
        <v>0.8979495582985892</v>
      </c>
      <c r="AC16" s="38">
        <v>0.951</v>
      </c>
      <c r="AD16" s="39">
        <v>0.951</v>
      </c>
      <c r="AE16" s="40"/>
      <c r="AF16" s="39"/>
      <c r="AH16" s="228"/>
      <c r="AI16" s="230"/>
      <c r="AJ16" s="229"/>
      <c r="AK16" s="230"/>
      <c r="AL16" s="324"/>
      <c r="AM16" s="326"/>
    </row>
    <row r="17" spans="1:39" ht="12.75">
      <c r="A17" s="234">
        <v>8</v>
      </c>
      <c r="B17" s="112" t="s">
        <v>193</v>
      </c>
      <c r="C17" s="613" t="s">
        <v>47</v>
      </c>
      <c r="D17" s="613" t="s">
        <v>47</v>
      </c>
      <c r="E17" s="150">
        <f t="shared" si="5"/>
        <v>0.025</v>
      </c>
      <c r="F17" s="245" t="str">
        <f t="shared" si="6"/>
        <v>BP FW</v>
      </c>
      <c r="G17" s="214">
        <f t="shared" si="0"/>
        <v>2.1</v>
      </c>
      <c r="H17" s="622">
        <f t="shared" si="1"/>
        <v>0.025</v>
      </c>
      <c r="I17" s="425">
        <f t="shared" si="2"/>
        <v>0.051</v>
      </c>
      <c r="J17" s="422">
        <f t="shared" si="3"/>
      </c>
      <c r="K17" s="421">
        <f t="shared" si="4"/>
      </c>
      <c r="L17" s="113">
        <v>2.1</v>
      </c>
      <c r="M17" s="114">
        <v>0.025</v>
      </c>
      <c r="N17" s="115">
        <v>2.4</v>
      </c>
      <c r="O17" s="116">
        <v>0.025</v>
      </c>
      <c r="P17" s="100"/>
      <c r="Q17" s="254"/>
      <c r="R17" s="255"/>
      <c r="S17" s="256"/>
      <c r="T17" s="257"/>
      <c r="U17" s="102"/>
      <c r="V17" s="124">
        <v>0.051</v>
      </c>
      <c r="W17" s="34"/>
      <c r="X17" s="35"/>
      <c r="Y17" s="35"/>
      <c r="Z17" s="36"/>
      <c r="AA17" s="40"/>
      <c r="AB17" s="38"/>
      <c r="AC17" s="38"/>
      <c r="AD17" s="39"/>
      <c r="AE17" s="40"/>
      <c r="AF17" s="39"/>
      <c r="AH17" s="228"/>
      <c r="AI17" s="230"/>
      <c r="AJ17" s="229"/>
      <c r="AK17" s="230"/>
      <c r="AL17" s="327"/>
      <c r="AM17" s="326"/>
    </row>
    <row r="18" spans="1:39" ht="12.75">
      <c r="A18" s="234">
        <v>9</v>
      </c>
      <c r="B18" s="111" t="s">
        <v>194</v>
      </c>
      <c r="C18" s="613" t="s">
        <v>48</v>
      </c>
      <c r="D18" s="613" t="s">
        <v>48</v>
      </c>
      <c r="E18" s="147">
        <f t="shared" si="5"/>
        <v>103.52000366864004</v>
      </c>
      <c r="F18" s="245" t="str">
        <f t="shared" si="6"/>
        <v>BP FW</v>
      </c>
      <c r="G18" s="214">
        <f t="shared" si="0"/>
        <v>441.4889408579618</v>
      </c>
      <c r="H18" s="215">
        <f t="shared" si="1"/>
        <v>103.52000366864004</v>
      </c>
      <c r="I18" s="224">
        <f t="shared" si="2"/>
        <v>4600</v>
      </c>
      <c r="J18" s="422">
        <f aca="true" t="shared" si="8" ref="J18:J82">IF(AND(zSSORegion="South Dumbarton Bridge",AH18&lt;&gt;""),AH18,IF(AND(zSSORegion="North Dumbarton Bridge",AJ18&lt;&gt;""),AJ18,""))</f>
      </c>
      <c r="K18" s="421">
        <f aca="true" t="shared" si="9" ref="K18:K82">IF(AND(zSSORegion="South Dumbarton Bridge",AI18&lt;&gt;""),AI18,IF(AND(zSSORegion="North Dumbarton Bridge",AK18&lt;&gt;""),AK18,""))</f>
      </c>
      <c r="L18" s="281">
        <f>Q18</f>
        <v>441.4889408579618</v>
      </c>
      <c r="M18" s="255">
        <f>R18</f>
        <v>103.52000366864004</v>
      </c>
      <c r="N18" s="115"/>
      <c r="O18" s="116"/>
      <c r="P18" s="162"/>
      <c r="Q18" s="264">
        <f>IF(OR(zTranslatorExist="N",AE18=""),EXP(W18*(LN(zHardness))+X18),(EXP(W18*(LN(zHardness))+X18))*(AA18/AE18))</f>
        <v>441.4889408579618</v>
      </c>
      <c r="R18" s="261">
        <f>IF(OR(zTranslatorExist="N",AF18=""),EXP(Y18*(LN(zHardness))+Z18),(EXP(Y18*(LN(zHardness))+Z18))*(AB18/AF18))</f>
        <v>103.52000366864004</v>
      </c>
      <c r="S18" s="256"/>
      <c r="T18" s="257"/>
      <c r="U18" s="100"/>
      <c r="V18" s="125">
        <v>4600</v>
      </c>
      <c r="W18" s="34">
        <v>0.846</v>
      </c>
      <c r="X18" s="35">
        <v>2.255</v>
      </c>
      <c r="Y18" s="35">
        <v>0.846</v>
      </c>
      <c r="Z18" s="36">
        <v>0.0584</v>
      </c>
      <c r="AA18" s="40">
        <v>0.998</v>
      </c>
      <c r="AB18" s="38">
        <v>0.997</v>
      </c>
      <c r="AC18" s="38">
        <v>0.99</v>
      </c>
      <c r="AD18" s="39">
        <v>0.99</v>
      </c>
      <c r="AE18" s="40">
        <v>0.57</v>
      </c>
      <c r="AF18" s="39">
        <v>0.27</v>
      </c>
      <c r="AH18" s="228">
        <v>62.4</v>
      </c>
      <c r="AI18" s="230">
        <v>11.9</v>
      </c>
      <c r="AJ18" s="229"/>
      <c r="AK18" s="230"/>
      <c r="AL18" s="327"/>
      <c r="AM18" s="326"/>
    </row>
    <row r="19" spans="1:39" ht="12.75">
      <c r="A19" s="234">
        <v>10</v>
      </c>
      <c r="B19" s="111" t="s">
        <v>195</v>
      </c>
      <c r="C19" s="613" t="s">
        <v>48</v>
      </c>
      <c r="D19" s="613" t="s">
        <v>48</v>
      </c>
      <c r="E19" s="149">
        <f t="shared" si="5"/>
        <v>5</v>
      </c>
      <c r="F19" s="208" t="s">
        <v>298</v>
      </c>
      <c r="G19" s="214">
        <f t="shared" si="0"/>
        <v>20</v>
      </c>
      <c r="H19" s="215">
        <f t="shared" si="1"/>
        <v>5</v>
      </c>
      <c r="I19" s="216">
        <f t="shared" si="2"/>
      </c>
      <c r="J19" s="422">
        <f t="shared" si="8"/>
      </c>
      <c r="K19" s="421">
        <f t="shared" si="9"/>
      </c>
      <c r="L19" s="113"/>
      <c r="M19" s="114"/>
      <c r="N19" s="115"/>
      <c r="O19" s="116"/>
      <c r="P19" s="103"/>
      <c r="Q19" s="254">
        <v>20</v>
      </c>
      <c r="R19" s="255">
        <v>5</v>
      </c>
      <c r="S19" s="258">
        <v>290</v>
      </c>
      <c r="T19" s="259">
        <v>71</v>
      </c>
      <c r="U19" s="101"/>
      <c r="V19" s="122"/>
      <c r="W19" s="34"/>
      <c r="X19" s="35"/>
      <c r="Y19" s="35"/>
      <c r="Z19" s="36"/>
      <c r="AA19" s="40"/>
      <c r="AB19" s="38"/>
      <c r="AC19" s="38">
        <v>0.998</v>
      </c>
      <c r="AD19" s="39">
        <v>0.998</v>
      </c>
      <c r="AE19" s="40"/>
      <c r="AF19" s="39"/>
      <c r="AH19" s="228"/>
      <c r="AI19" s="230"/>
      <c r="AJ19" s="229"/>
      <c r="AK19" s="230"/>
      <c r="AL19" s="327"/>
      <c r="AM19" s="326"/>
    </row>
    <row r="20" spans="1:39" ht="12.75">
      <c r="A20" s="234">
        <v>11</v>
      </c>
      <c r="B20" s="111" t="s">
        <v>196</v>
      </c>
      <c r="C20" s="613" t="s">
        <v>48</v>
      </c>
      <c r="D20" s="613" t="s">
        <v>48</v>
      </c>
      <c r="E20" s="426">
        <f t="shared" si="5"/>
        <v>1.1485103315097878</v>
      </c>
      <c r="F20" s="245" t="str">
        <f>IF(MIN(J20:K20)=E20,"BP SSO",IF(MIN(L20:M20)=E20,"BP FW",IF(MIN(N20:O20)=E20,"BP SW",IF(P20=E20,"BP HH",IF(MIN(Q20:R20)=E20,"CTR FW",IF(MIN(S20:T20)=E20,"CTR SW",IF(MIN(U20:V20)=E20,"CTR HH","")))))))</f>
        <v>BP FW</v>
      </c>
      <c r="G20" s="214">
        <f t="shared" si="0"/>
        <v>1.1485103315097878</v>
      </c>
      <c r="H20" s="215">
        <f t="shared" si="1"/>
      </c>
      <c r="I20" s="216">
        <f t="shared" si="2"/>
      </c>
      <c r="J20" s="422">
        <f t="shared" si="8"/>
      </c>
      <c r="K20" s="421">
        <f t="shared" si="9"/>
      </c>
      <c r="L20" s="254">
        <f>Q20</f>
        <v>1.1485103315097878</v>
      </c>
      <c r="M20" s="255"/>
      <c r="N20" s="256">
        <f>S20</f>
        <v>2.235294117647059</v>
      </c>
      <c r="O20" s="257"/>
      <c r="P20" s="100"/>
      <c r="Q20" s="260">
        <f>IF(OR(zTranslatorExist="N",AE20=""),EXP(W20*(LN(zHardness))+X20),(EXP(W20*(LN(zHardness))+X20))*(AA20/AE20))</f>
        <v>1.1485103315097878</v>
      </c>
      <c r="R20" s="255"/>
      <c r="S20" s="262">
        <f>1.9/AC20</f>
        <v>2.235294117647059</v>
      </c>
      <c r="T20" s="257"/>
      <c r="U20" s="103"/>
      <c r="V20" s="122"/>
      <c r="W20" s="34">
        <v>1.72</v>
      </c>
      <c r="X20" s="35">
        <v>-6.52</v>
      </c>
      <c r="Y20" s="35"/>
      <c r="Z20" s="36"/>
      <c r="AA20" s="40">
        <v>0.85</v>
      </c>
      <c r="AB20" s="38"/>
      <c r="AC20" s="38">
        <v>0.85</v>
      </c>
      <c r="AD20" s="39"/>
      <c r="AE20" s="40"/>
      <c r="AF20" s="39"/>
      <c r="AH20" s="228"/>
      <c r="AI20" s="230"/>
      <c r="AJ20" s="229"/>
      <c r="AK20" s="230"/>
      <c r="AL20" s="324"/>
      <c r="AM20" s="326"/>
    </row>
    <row r="21" spans="1:39" ht="12.75">
      <c r="A21" s="234">
        <v>12</v>
      </c>
      <c r="B21" s="111" t="s">
        <v>49</v>
      </c>
      <c r="C21" s="613" t="s">
        <v>48</v>
      </c>
      <c r="D21" s="613" t="s">
        <v>48</v>
      </c>
      <c r="E21" s="149">
        <f t="shared" si="5"/>
        <v>6.3</v>
      </c>
      <c r="F21" s="245" t="str">
        <f>IF(MIN(J21:K21)=E21,"BP SSO",IF(MIN(L21:M21)=E21,"BP FW",IF(MIN(N21:O21)=E21,"BP SW",IF(P21=E21,"BP HH",IF(MIN(Q21:R21)=E21,"CTR FW",IF(MIN(S21:T21)=E21,"CTR SW",IF(MIN(U21:V21)=E21,"CTR HH","")))))))</f>
        <v>CTR HH</v>
      </c>
      <c r="G21" s="214">
        <f t="shared" si="0"/>
      </c>
      <c r="H21" s="215">
        <f t="shared" si="1"/>
      </c>
      <c r="I21" s="216">
        <f t="shared" si="2"/>
        <v>6.3</v>
      </c>
      <c r="J21" s="422">
        <f t="shared" si="8"/>
      </c>
      <c r="K21" s="421">
        <f t="shared" si="9"/>
      </c>
      <c r="L21" s="113"/>
      <c r="M21" s="114"/>
      <c r="N21" s="115"/>
      <c r="O21" s="116"/>
      <c r="P21" s="103"/>
      <c r="Q21" s="254"/>
      <c r="R21" s="255"/>
      <c r="S21" s="256"/>
      <c r="T21" s="257"/>
      <c r="U21" s="103"/>
      <c r="V21" s="126">
        <v>6.3</v>
      </c>
      <c r="W21" s="34"/>
      <c r="X21" s="35"/>
      <c r="Y21" s="35"/>
      <c r="Z21" s="36"/>
      <c r="AA21" s="40"/>
      <c r="AB21" s="38"/>
      <c r="AC21" s="38"/>
      <c r="AD21" s="39"/>
      <c r="AE21" s="40"/>
      <c r="AF21" s="39"/>
      <c r="AH21" s="228"/>
      <c r="AI21" s="230"/>
      <c r="AJ21" s="229"/>
      <c r="AK21" s="230"/>
      <c r="AL21" s="324"/>
      <c r="AM21" s="326"/>
    </row>
    <row r="22" spans="1:39" ht="13.5" thickBot="1">
      <c r="A22" s="234">
        <v>13</v>
      </c>
      <c r="B22" s="111" t="s">
        <v>197</v>
      </c>
      <c r="C22" s="613" t="s">
        <v>48</v>
      </c>
      <c r="D22" s="613" t="s">
        <v>48</v>
      </c>
      <c r="E22" s="149">
        <f t="shared" si="5"/>
        <v>64.33273608509161</v>
      </c>
      <c r="F22" s="245" t="str">
        <f>IF(MIN(J22:K22)=E22,"BP SSO",IF(MIN(L22:M22)=E22,"BP FW",IF(MIN(N22:O22)=E22,"BP SW",IF(P22=E22,"BP HH",IF(MIN(Q22:R22)=E22,"CTR FW",IF(MIN(S22:T22)=E22,"CTR SW",IF(MIN(U22:V22)=E22,"CTR HH","")))))))</f>
        <v>BP FW</v>
      </c>
      <c r="G22" s="214">
        <f t="shared" si="0"/>
        <v>64.33273608509161</v>
      </c>
      <c r="H22" s="215">
        <f t="shared" si="1"/>
        <v>64.33273608509161</v>
      </c>
      <c r="I22" s="216">
        <f t="shared" si="2"/>
      </c>
      <c r="J22" s="422">
        <f t="shared" si="8"/>
      </c>
      <c r="K22" s="421">
        <f t="shared" si="9"/>
      </c>
      <c r="L22" s="254">
        <f>Q22</f>
        <v>64.33273608509161</v>
      </c>
      <c r="M22" s="255">
        <f>R22</f>
        <v>64.33273608509161</v>
      </c>
      <c r="N22" s="256">
        <f>S22</f>
        <v>100.42283298097252</v>
      </c>
      <c r="O22" s="257">
        <f>T22</f>
        <v>90.90909090909092</v>
      </c>
      <c r="P22" s="104"/>
      <c r="Q22" s="260">
        <f>IF(OR(zTranslatorExist="N",AE22=""),EXP(W22*(LN(zHardness))+X22),(EXP(W22*(LN(zHardness))+X22))*(AA22/AE22))</f>
        <v>64.33273608509161</v>
      </c>
      <c r="R22" s="261">
        <f>IF(OR(zTranslatorExist="N",AF22=""),EXP(Y22*(LN(zHardness))+Z22),(EXP(Y22*(LN(zHardness))+Z22))*(AB22/AF22))</f>
        <v>64.33273608509161</v>
      </c>
      <c r="S22" s="262">
        <f>95/AC22</f>
        <v>100.42283298097252</v>
      </c>
      <c r="T22" s="263">
        <f>86/AD22</f>
        <v>90.90909090909092</v>
      </c>
      <c r="U22" s="101"/>
      <c r="V22" s="122"/>
      <c r="W22" s="34">
        <v>0.8473</v>
      </c>
      <c r="X22" s="35">
        <v>0.884</v>
      </c>
      <c r="Y22" s="35">
        <v>0.8473</v>
      </c>
      <c r="Z22" s="36">
        <v>0.884</v>
      </c>
      <c r="AA22" s="40">
        <v>0.978</v>
      </c>
      <c r="AB22" s="38">
        <v>0.986</v>
      </c>
      <c r="AC22" s="38">
        <v>0.946</v>
      </c>
      <c r="AD22" s="39">
        <v>0.946</v>
      </c>
      <c r="AE22" s="279"/>
      <c r="AF22" s="280"/>
      <c r="AH22" s="228"/>
      <c r="AI22" s="230"/>
      <c r="AJ22" s="229"/>
      <c r="AK22" s="230"/>
      <c r="AL22" s="324"/>
      <c r="AM22" s="326"/>
    </row>
    <row r="23" spans="1:39" ht="13.5" thickTop="1">
      <c r="A23" s="234">
        <v>14</v>
      </c>
      <c r="B23" s="111" t="s">
        <v>198</v>
      </c>
      <c r="C23" s="613" t="s">
        <v>48</v>
      </c>
      <c r="D23" s="613" t="s">
        <v>48</v>
      </c>
      <c r="E23" s="148">
        <f t="shared" si="5"/>
        <v>1</v>
      </c>
      <c r="F23" s="208" t="s">
        <v>298</v>
      </c>
      <c r="G23" s="214">
        <f t="shared" si="0"/>
        <v>1</v>
      </c>
      <c r="H23" s="215">
        <f t="shared" si="1"/>
        <v>1</v>
      </c>
      <c r="I23" s="224">
        <f t="shared" si="2"/>
        <v>220000</v>
      </c>
      <c r="J23" s="422">
        <f t="shared" si="8"/>
      </c>
      <c r="K23" s="421">
        <f t="shared" si="9"/>
      </c>
      <c r="L23" s="113"/>
      <c r="M23" s="114"/>
      <c r="N23" s="115"/>
      <c r="O23" s="116"/>
      <c r="P23" s="104"/>
      <c r="Q23" s="113">
        <v>22</v>
      </c>
      <c r="R23" s="114">
        <v>5.2</v>
      </c>
      <c r="S23" s="115">
        <v>1</v>
      </c>
      <c r="T23" s="116">
        <v>1</v>
      </c>
      <c r="U23" s="104"/>
      <c r="V23" s="125">
        <v>220000</v>
      </c>
      <c r="W23" s="30"/>
      <c r="X23" s="31"/>
      <c r="Y23" s="31"/>
      <c r="Z23" s="32"/>
      <c r="AA23" s="29"/>
      <c r="AB23" s="33"/>
      <c r="AC23" s="33"/>
      <c r="AD23" s="4"/>
      <c r="AH23" s="228"/>
      <c r="AI23" s="230"/>
      <c r="AJ23" s="229"/>
      <c r="AK23" s="230"/>
      <c r="AL23" s="324"/>
      <c r="AM23" s="326"/>
    </row>
    <row r="24" spans="1:39" ht="12.75">
      <c r="A24" s="234">
        <v>15</v>
      </c>
      <c r="B24" s="111" t="s">
        <v>50</v>
      </c>
      <c r="C24" s="613" t="s">
        <v>48</v>
      </c>
      <c r="D24" s="613" t="s">
        <v>47</v>
      </c>
      <c r="E24" s="148" t="str">
        <f t="shared" si="5"/>
        <v>No Criteria</v>
      </c>
      <c r="F24" s="245">
        <f>IF(MIN(J24:K24)=E24,"BP SSO",IF(MIN(L24:M24)=E24,"BP FW",IF(MIN(N24:O24)=E24,"BP SW",IF(P24=E24,"BP HH",IF(MIN(Q24:R24)=E24,"CTR FW",IF(MIN(S24:T24)=E24,"CTR SW",IF(MIN(U24:V24)=E24,"CTR HH","")))))))</f>
      </c>
      <c r="G24" s="214">
        <f t="shared" si="0"/>
      </c>
      <c r="H24" s="215">
        <f t="shared" si="1"/>
      </c>
      <c r="I24" s="216">
        <f t="shared" si="2"/>
      </c>
      <c r="J24" s="422">
        <f t="shared" si="8"/>
      </c>
      <c r="K24" s="421">
        <f t="shared" si="9"/>
      </c>
      <c r="L24" s="113"/>
      <c r="M24" s="114"/>
      <c r="N24" s="115"/>
      <c r="O24" s="116"/>
      <c r="P24" s="103"/>
      <c r="Q24" s="113"/>
      <c r="R24" s="114"/>
      <c r="S24" s="115"/>
      <c r="T24" s="116"/>
      <c r="U24" s="103"/>
      <c r="V24" s="122"/>
      <c r="W24" s="30"/>
      <c r="X24" s="31"/>
      <c r="Y24" s="31"/>
      <c r="Z24" s="32"/>
      <c r="AA24" s="29"/>
      <c r="AB24" s="33"/>
      <c r="AC24" s="33"/>
      <c r="AD24" s="4"/>
      <c r="AH24" s="228"/>
      <c r="AI24" s="230"/>
      <c r="AJ24" s="229"/>
      <c r="AK24" s="230"/>
      <c r="AL24" s="324"/>
      <c r="AM24" s="328"/>
    </row>
    <row r="25" spans="1:39" ht="12.75">
      <c r="A25" s="557">
        <v>16</v>
      </c>
      <c r="B25" s="111" t="s">
        <v>672</v>
      </c>
      <c r="C25" s="613" t="s">
        <v>47</v>
      </c>
      <c r="D25" s="613" t="s">
        <v>47</v>
      </c>
      <c r="E25" s="151">
        <f>IF(MIN(G25:I25)&gt;0,MIN(G25:I25),"No Criteria")</f>
        <v>1.4E-08</v>
      </c>
      <c r="F25" s="245" t="s">
        <v>521</v>
      </c>
      <c r="G25" s="214">
        <f>IF(J25&lt;&gt;"",J25,IF(zSSORegion&lt;&gt;"South Dumbarton Bridge",IF(zSalinity="Freshwater",IF(MIN(L25,Q25)&gt;0,MIN(L25,Q25),""),IF(zSalinity="Saltwater",IF(MIN(N25,S25)&gt;0,MIN(N25,S25),""),IF(MIN(L25,N25,Q25,S25)&gt;0,MIN(L25,N25,Q25,S25),""))),IF(zSalinity="Freshwater",IF(Q25&gt;0,Q25,""),IF(zSalinity="Saltwater",IF(S25&gt;0,S25,""),IF(MIN(Q25,S25)&gt;0,MIN(Q25,S25),"")))))</f>
      </c>
      <c r="H25" s="215">
        <f>IF(K25&lt;&gt;"",K25,IF(zSSORegion&lt;&gt;"South Dumbarton Bridge",IF(zSalinity="Freshwater",IF(MIN(M25,R25)&gt;0,MIN(M25,R25),""),IF(zSalinity="Saltwater",IF(MIN(O25,T25)&gt;0,MIN(O25,T25),""),IF(MIN(M25,O25,R25,T25)&gt;0,MIN(M25,O25,R25,T25),""))),IF(zSalinity="Freshwater",IF(R25&gt;0,R25,""),IF(zSalinity="Saltwater",IF(T25&gt;0,T25,""),IF(MIN(R25,T25)&gt;0,MIN(R25,T25),"")))))</f>
      </c>
      <c r="I25" s="217">
        <f>IF(zSSORegion&lt;&gt;"South Dumbarton Bridge",IF(MIN(P25,U25,V25)&gt;0,MIN(P25,U25,V25),""),IF(MIN(U25,V25)&gt;0,MIN(U25,V25),""))</f>
        <v>1.4E-08</v>
      </c>
      <c r="J25" s="422">
        <f>IF(AND(zSSORegion="South Dumbarton Bridge",AH25&lt;&gt;""),AH25,IF(AND(zSSORegion="North Dumbarton Bridge",AJ25&lt;&gt;""),AJ25,""))</f>
      </c>
      <c r="K25" s="421">
        <f>IF(AND(zSSORegion="South Dumbarton Bridge",AI25&lt;&gt;""),AI25,IF(AND(zSSORegion="North Dumbarton Bridge",AK25&lt;&gt;""),AK25,""))</f>
      </c>
      <c r="L25" s="113"/>
      <c r="M25" s="114"/>
      <c r="N25" s="115"/>
      <c r="O25" s="116"/>
      <c r="P25" s="251">
        <f>V25</f>
        <v>1.4E-08</v>
      </c>
      <c r="Q25" s="113"/>
      <c r="R25" s="114"/>
      <c r="S25" s="115"/>
      <c r="T25" s="116"/>
      <c r="U25" s="108"/>
      <c r="V25" s="226">
        <v>1.4E-08</v>
      </c>
      <c r="W25" s="30"/>
      <c r="X25" s="31"/>
      <c r="Y25" s="31"/>
      <c r="Z25" s="32"/>
      <c r="AA25" s="29"/>
      <c r="AB25" s="33"/>
      <c r="AC25" s="33"/>
      <c r="AD25" s="4"/>
      <c r="AH25" s="228"/>
      <c r="AI25" s="230"/>
      <c r="AJ25" s="229"/>
      <c r="AK25" s="230"/>
      <c r="AL25" s="324"/>
      <c r="AM25" s="328"/>
    </row>
    <row r="26" spans="2:39" ht="12.75">
      <c r="B26" s="111" t="s">
        <v>260</v>
      </c>
      <c r="C26" s="613" t="s">
        <v>47</v>
      </c>
      <c r="D26" s="613" t="s">
        <v>47</v>
      </c>
      <c r="E26" s="151">
        <f t="shared" si="5"/>
        <v>1.4E-08</v>
      </c>
      <c r="F26" s="245" t="str">
        <f>IF(MIN(J26:K26)=E26,"BP SSO",IF(MIN(L26:M26)=E26,"BP FW",IF(MIN(N26:O26)=E26,"BP SW",IF(P26=E26,"BP HH",IF(MIN(Q26:R26)=E26,"CTR FW",IF(MIN(S26:T26)=E26,"CTR SW",IF(MIN(U26:V26)=E26,"CTR HH","")))))))</f>
        <v>BP HH</v>
      </c>
      <c r="G26" s="214">
        <f t="shared" si="0"/>
      </c>
      <c r="H26" s="215">
        <f t="shared" si="1"/>
      </c>
      <c r="I26" s="217">
        <f t="shared" si="2"/>
        <v>1.4E-08</v>
      </c>
      <c r="J26" s="422">
        <f t="shared" si="8"/>
      </c>
      <c r="K26" s="421">
        <f t="shared" si="9"/>
      </c>
      <c r="L26" s="113"/>
      <c r="M26" s="114"/>
      <c r="N26" s="115"/>
      <c r="O26" s="116"/>
      <c r="P26" s="251">
        <f>V26</f>
        <v>1.4E-08</v>
      </c>
      <c r="Q26" s="113"/>
      <c r="R26" s="114"/>
      <c r="S26" s="115"/>
      <c r="T26" s="116"/>
      <c r="U26" s="108"/>
      <c r="V26" s="226">
        <v>1.4E-08</v>
      </c>
      <c r="W26" s="30"/>
      <c r="X26" s="31"/>
      <c r="Y26" s="31"/>
      <c r="Z26" s="32"/>
      <c r="AA26" s="29"/>
      <c r="AB26" s="33"/>
      <c r="AC26" s="33"/>
      <c r="AD26" s="4"/>
      <c r="AH26" s="228"/>
      <c r="AI26" s="230"/>
      <c r="AJ26" s="229"/>
      <c r="AK26" s="230"/>
      <c r="AL26" s="327"/>
      <c r="AM26" s="328"/>
    </row>
    <row r="27" spans="1:39" ht="12.75">
      <c r="A27" s="233">
        <v>17</v>
      </c>
      <c r="B27" s="111" t="s">
        <v>51</v>
      </c>
      <c r="C27" s="613" t="s">
        <v>48</v>
      </c>
      <c r="D27" s="613" t="s">
        <v>47</v>
      </c>
      <c r="E27" s="152">
        <f t="shared" si="5"/>
        <v>780</v>
      </c>
      <c r="F27" s="245" t="str">
        <f>IF(MIN(J27:K27)=E27,"BP SSO",IF(MIN(L27:M27)=E27,"BP FW",IF(MIN(N27:O27)=E27,"BP SW",IF(P27=E27,"BP HH",IF(MIN(Q27:R27)=E27,"CTR FW",IF(MIN(S27:T27)=E27,"CTR SW",IF(MIN(U27:V27)=E27,"CTR HH","")))))))</f>
        <v>CTR HH</v>
      </c>
      <c r="G27" s="214">
        <f t="shared" si="0"/>
      </c>
      <c r="H27" s="215">
        <f t="shared" si="1"/>
      </c>
      <c r="I27" s="224">
        <f t="shared" si="2"/>
        <v>780</v>
      </c>
      <c r="J27" s="422">
        <f t="shared" si="8"/>
      </c>
      <c r="K27" s="421">
        <f t="shared" si="9"/>
      </c>
      <c r="L27" s="113"/>
      <c r="M27" s="114"/>
      <c r="N27" s="115"/>
      <c r="O27" s="116"/>
      <c r="P27" s="105"/>
      <c r="Q27" s="113"/>
      <c r="R27" s="114"/>
      <c r="S27" s="115"/>
      <c r="T27" s="116"/>
      <c r="U27" s="105"/>
      <c r="V27" s="127">
        <v>780</v>
      </c>
      <c r="W27" s="30"/>
      <c r="X27" s="31"/>
      <c r="Y27" s="31"/>
      <c r="Z27" s="32"/>
      <c r="AA27" s="29"/>
      <c r="AB27" s="33"/>
      <c r="AC27" s="33"/>
      <c r="AD27" s="4"/>
      <c r="AH27" s="228"/>
      <c r="AI27" s="230"/>
      <c r="AJ27" s="229"/>
      <c r="AK27" s="230"/>
      <c r="AL27" s="324"/>
      <c r="AM27" s="328"/>
    </row>
    <row r="28" spans="1:39" ht="12.75">
      <c r="A28" s="233">
        <v>18</v>
      </c>
      <c r="B28" s="111" t="s">
        <v>52</v>
      </c>
      <c r="C28" s="613" t="s">
        <v>48</v>
      </c>
      <c r="D28" s="613" t="s">
        <v>47</v>
      </c>
      <c r="E28" s="149">
        <f t="shared" si="5"/>
        <v>0.66</v>
      </c>
      <c r="F28" s="245" t="str">
        <f aca="true" t="shared" si="10" ref="F28:F46">IF(MIN(J28:K28)=E28,"BP SSO",IF(MIN(L28:M28)=E28,"BP FW",IF(MIN(N28:O28)=E28,"BP SW",IF(P28=E28,"BP HH",IF(MIN(Q28:R28)=E28,"CTR FW",IF(MIN(S28:T28)=E28,"CTR SW",IF(MIN(U28:V28)=E28,"CTR HH","")))))))</f>
        <v>CTR HH</v>
      </c>
      <c r="G28" s="214">
        <f t="shared" si="0"/>
      </c>
      <c r="H28" s="215">
        <f t="shared" si="1"/>
      </c>
      <c r="I28" s="224">
        <f t="shared" si="2"/>
        <v>0.66</v>
      </c>
      <c r="J28" s="422">
        <f t="shared" si="8"/>
      </c>
      <c r="K28" s="421">
        <f t="shared" si="9"/>
      </c>
      <c r="L28" s="113"/>
      <c r="M28" s="114"/>
      <c r="N28" s="115"/>
      <c r="O28" s="116"/>
      <c r="P28" s="105"/>
      <c r="Q28" s="113"/>
      <c r="R28" s="114"/>
      <c r="S28" s="115"/>
      <c r="T28" s="116"/>
      <c r="U28" s="105"/>
      <c r="V28" s="128">
        <v>0.66</v>
      </c>
      <c r="W28" s="30"/>
      <c r="X28" s="31"/>
      <c r="Y28" s="31"/>
      <c r="Z28" s="32"/>
      <c r="AA28" s="29"/>
      <c r="AB28" s="33"/>
      <c r="AC28" s="33"/>
      <c r="AD28" s="4"/>
      <c r="AH28" s="228"/>
      <c r="AI28" s="230"/>
      <c r="AJ28" s="229"/>
      <c r="AK28" s="230"/>
      <c r="AL28" s="324"/>
      <c r="AM28" s="328"/>
    </row>
    <row r="29" spans="1:39" ht="12.75">
      <c r="A29" s="233">
        <v>19</v>
      </c>
      <c r="B29" s="111" t="s">
        <v>53</v>
      </c>
      <c r="C29" s="613" t="s">
        <v>48</v>
      </c>
      <c r="D29" s="613" t="s">
        <v>47</v>
      </c>
      <c r="E29" s="152">
        <f t="shared" si="5"/>
        <v>71</v>
      </c>
      <c r="F29" s="245" t="str">
        <f t="shared" si="10"/>
        <v>CTR HH</v>
      </c>
      <c r="G29" s="214">
        <f t="shared" si="0"/>
      </c>
      <c r="H29" s="215">
        <f t="shared" si="1"/>
      </c>
      <c r="I29" s="224">
        <f t="shared" si="2"/>
        <v>71</v>
      </c>
      <c r="J29" s="422">
        <f t="shared" si="8"/>
      </c>
      <c r="K29" s="421">
        <f t="shared" si="9"/>
      </c>
      <c r="L29" s="113"/>
      <c r="M29" s="114"/>
      <c r="N29" s="115"/>
      <c r="O29" s="116"/>
      <c r="P29" s="105"/>
      <c r="Q29" s="113"/>
      <c r="R29" s="114"/>
      <c r="S29" s="115"/>
      <c r="T29" s="116"/>
      <c r="U29" s="105"/>
      <c r="V29" s="127">
        <v>71</v>
      </c>
      <c r="W29" s="30"/>
      <c r="X29" s="31"/>
      <c r="Y29" s="31"/>
      <c r="Z29" s="32"/>
      <c r="AA29" s="29"/>
      <c r="AB29" s="33"/>
      <c r="AC29" s="33"/>
      <c r="AD29" s="4"/>
      <c r="AH29" s="228"/>
      <c r="AI29" s="230"/>
      <c r="AJ29" s="229"/>
      <c r="AK29" s="230"/>
      <c r="AL29" s="324"/>
      <c r="AM29" s="328"/>
    </row>
    <row r="30" spans="1:39" ht="12.75">
      <c r="A30" s="233">
        <v>20</v>
      </c>
      <c r="B30" s="111" t="s">
        <v>54</v>
      </c>
      <c r="C30" s="613" t="s">
        <v>48</v>
      </c>
      <c r="D30" s="613" t="s">
        <v>47</v>
      </c>
      <c r="E30" s="152">
        <f t="shared" si="5"/>
        <v>360</v>
      </c>
      <c r="F30" s="245" t="str">
        <f t="shared" si="10"/>
        <v>CTR HH</v>
      </c>
      <c r="G30" s="214">
        <f t="shared" si="0"/>
      </c>
      <c r="H30" s="215">
        <f t="shared" si="1"/>
      </c>
      <c r="I30" s="224">
        <f t="shared" si="2"/>
        <v>360</v>
      </c>
      <c r="J30" s="422">
        <f t="shared" si="8"/>
      </c>
      <c r="K30" s="421">
        <f t="shared" si="9"/>
      </c>
      <c r="L30" s="113"/>
      <c r="M30" s="114"/>
      <c r="N30" s="115"/>
      <c r="O30" s="116"/>
      <c r="P30" s="105"/>
      <c r="Q30" s="113"/>
      <c r="R30" s="114"/>
      <c r="S30" s="115"/>
      <c r="T30" s="116"/>
      <c r="U30" s="105"/>
      <c r="V30" s="127">
        <v>360</v>
      </c>
      <c r="W30" s="30"/>
      <c r="X30" s="31"/>
      <c r="Y30" s="31"/>
      <c r="Z30" s="32"/>
      <c r="AA30" s="29"/>
      <c r="AB30" s="33"/>
      <c r="AC30" s="33"/>
      <c r="AD30" s="4"/>
      <c r="AH30" s="228"/>
      <c r="AI30" s="230"/>
      <c r="AJ30" s="229"/>
      <c r="AK30" s="230"/>
      <c r="AL30" s="324"/>
      <c r="AM30" s="328"/>
    </row>
    <row r="31" spans="1:39" ht="12.75">
      <c r="A31" s="233">
        <v>21</v>
      </c>
      <c r="B31" s="111" t="s">
        <v>55</v>
      </c>
      <c r="C31" s="613" t="s">
        <v>48</v>
      </c>
      <c r="D31" s="613" t="s">
        <v>47</v>
      </c>
      <c r="E31" s="153">
        <f t="shared" si="5"/>
        <v>4.4</v>
      </c>
      <c r="F31" s="245" t="str">
        <f t="shared" si="10"/>
        <v>CTR HH</v>
      </c>
      <c r="G31" s="214">
        <f t="shared" si="0"/>
      </c>
      <c r="H31" s="215">
        <f t="shared" si="1"/>
      </c>
      <c r="I31" s="224">
        <f t="shared" si="2"/>
        <v>4.4</v>
      </c>
      <c r="J31" s="422">
        <f t="shared" si="8"/>
      </c>
      <c r="K31" s="421">
        <f t="shared" si="9"/>
      </c>
      <c r="L31" s="113"/>
      <c r="M31" s="114"/>
      <c r="N31" s="115"/>
      <c r="O31" s="116"/>
      <c r="P31" s="105"/>
      <c r="Q31" s="113"/>
      <c r="R31" s="114"/>
      <c r="S31" s="115"/>
      <c r="T31" s="116"/>
      <c r="U31" s="105"/>
      <c r="V31" s="129">
        <v>4.4</v>
      </c>
      <c r="W31" s="30"/>
      <c r="X31" s="31"/>
      <c r="Y31" s="31"/>
      <c r="Z31" s="32"/>
      <c r="AA31" s="29"/>
      <c r="AB31" s="33"/>
      <c r="AC31" s="33"/>
      <c r="AD31" s="4"/>
      <c r="AH31" s="228"/>
      <c r="AI31" s="230"/>
      <c r="AJ31" s="229"/>
      <c r="AK31" s="230"/>
      <c r="AL31" s="324"/>
      <c r="AM31" s="328"/>
    </row>
    <row r="32" spans="1:39" ht="12.75">
      <c r="A32" s="233">
        <v>22</v>
      </c>
      <c r="B32" s="111" t="s">
        <v>56</v>
      </c>
      <c r="C32" s="613" t="s">
        <v>48</v>
      </c>
      <c r="D32" s="613" t="s">
        <v>47</v>
      </c>
      <c r="E32" s="152">
        <f t="shared" si="5"/>
        <v>21000</v>
      </c>
      <c r="F32" s="245" t="str">
        <f t="shared" si="10"/>
        <v>CTR HH</v>
      </c>
      <c r="G32" s="214">
        <f t="shared" si="0"/>
      </c>
      <c r="H32" s="215">
        <f t="shared" si="1"/>
      </c>
      <c r="I32" s="224">
        <f t="shared" si="2"/>
        <v>21000</v>
      </c>
      <c r="J32" s="422">
        <f t="shared" si="8"/>
      </c>
      <c r="K32" s="421">
        <f t="shared" si="9"/>
      </c>
      <c r="L32" s="113"/>
      <c r="M32" s="114"/>
      <c r="N32" s="115"/>
      <c r="O32" s="116"/>
      <c r="P32" s="105"/>
      <c r="Q32" s="113"/>
      <c r="R32" s="114"/>
      <c r="S32" s="115"/>
      <c r="T32" s="116"/>
      <c r="U32" s="105"/>
      <c r="V32" s="130">
        <v>21000</v>
      </c>
      <c r="W32" s="30"/>
      <c r="X32" s="31"/>
      <c r="Y32" s="31"/>
      <c r="Z32" s="32"/>
      <c r="AA32" s="29"/>
      <c r="AB32" s="33"/>
      <c r="AC32" s="33"/>
      <c r="AD32" s="4"/>
      <c r="AH32" s="228"/>
      <c r="AI32" s="230"/>
      <c r="AJ32" s="229"/>
      <c r="AK32" s="230"/>
      <c r="AL32" s="324"/>
      <c r="AM32" s="328"/>
    </row>
    <row r="33" spans="1:39" ht="12.75">
      <c r="A33" s="233">
        <v>23</v>
      </c>
      <c r="B33" s="111" t="s">
        <v>199</v>
      </c>
      <c r="C33" s="613" t="s">
        <v>48</v>
      </c>
      <c r="D33" s="613" t="s">
        <v>47</v>
      </c>
      <c r="E33" s="152">
        <f t="shared" si="5"/>
        <v>34</v>
      </c>
      <c r="F33" s="245" t="str">
        <f t="shared" si="10"/>
        <v>CTR HH</v>
      </c>
      <c r="G33" s="214">
        <f t="shared" si="0"/>
      </c>
      <c r="H33" s="215">
        <f t="shared" si="1"/>
      </c>
      <c r="I33" s="224">
        <f t="shared" si="2"/>
        <v>34</v>
      </c>
      <c r="J33" s="422">
        <f t="shared" si="8"/>
      </c>
      <c r="K33" s="421">
        <f t="shared" si="9"/>
      </c>
      <c r="L33" s="113"/>
      <c r="M33" s="114"/>
      <c r="N33" s="115"/>
      <c r="O33" s="116"/>
      <c r="P33" s="105"/>
      <c r="Q33" s="113"/>
      <c r="R33" s="114"/>
      <c r="S33" s="115"/>
      <c r="T33" s="116"/>
      <c r="U33" s="105"/>
      <c r="V33" s="127">
        <v>34</v>
      </c>
      <c r="W33" s="30"/>
      <c r="X33" s="31"/>
      <c r="Y33" s="31"/>
      <c r="Z33" s="32"/>
      <c r="AA33" s="29"/>
      <c r="AB33" s="33"/>
      <c r="AC33" s="33"/>
      <c r="AD33" s="4"/>
      <c r="AH33" s="228"/>
      <c r="AI33" s="230"/>
      <c r="AJ33" s="229"/>
      <c r="AK33" s="230"/>
      <c r="AL33" s="324"/>
      <c r="AM33" s="328"/>
    </row>
    <row r="34" spans="1:39" ht="12.75">
      <c r="A34" s="233">
        <v>24</v>
      </c>
      <c r="B34" s="111" t="s">
        <v>57</v>
      </c>
      <c r="C34" s="613" t="s">
        <v>48</v>
      </c>
      <c r="D34" s="613" t="s">
        <v>47</v>
      </c>
      <c r="E34" s="154" t="str">
        <f t="shared" si="5"/>
        <v>No Criteria</v>
      </c>
      <c r="F34" s="245">
        <f t="shared" si="10"/>
      </c>
      <c r="G34" s="214">
        <f t="shared" si="0"/>
      </c>
      <c r="H34" s="215">
        <f t="shared" si="1"/>
      </c>
      <c r="I34" s="224">
        <f t="shared" si="2"/>
      </c>
      <c r="J34" s="422">
        <f t="shared" si="8"/>
      </c>
      <c r="K34" s="421">
        <f t="shared" si="9"/>
      </c>
      <c r="L34" s="113"/>
      <c r="M34" s="114"/>
      <c r="N34" s="115"/>
      <c r="O34" s="116"/>
      <c r="P34" s="105"/>
      <c r="Q34" s="113"/>
      <c r="R34" s="114"/>
      <c r="S34" s="115"/>
      <c r="T34" s="116"/>
      <c r="U34" s="105"/>
      <c r="V34" s="131"/>
      <c r="W34" s="30"/>
      <c r="X34" s="31"/>
      <c r="Y34" s="31"/>
      <c r="Z34" s="32"/>
      <c r="AA34" s="29"/>
      <c r="AB34" s="33"/>
      <c r="AC34" s="33"/>
      <c r="AD34" s="4"/>
      <c r="AH34" s="228"/>
      <c r="AI34" s="230"/>
      <c r="AJ34" s="229"/>
      <c r="AK34" s="230"/>
      <c r="AL34" s="324"/>
      <c r="AM34" s="328"/>
    </row>
    <row r="35" spans="1:39" ht="12.75">
      <c r="A35" s="233">
        <v>25</v>
      </c>
      <c r="B35" s="111" t="s">
        <v>200</v>
      </c>
      <c r="C35" s="613" t="s">
        <v>48</v>
      </c>
      <c r="D35" s="613" t="s">
        <v>47</v>
      </c>
      <c r="E35" s="154" t="str">
        <f t="shared" si="5"/>
        <v>No Criteria</v>
      </c>
      <c r="F35" s="245">
        <f t="shared" si="10"/>
      </c>
      <c r="G35" s="214">
        <f t="shared" si="0"/>
      </c>
      <c r="H35" s="215">
        <f t="shared" si="1"/>
      </c>
      <c r="I35" s="224">
        <f t="shared" si="2"/>
      </c>
      <c r="J35" s="422">
        <f t="shared" si="8"/>
      </c>
      <c r="K35" s="421">
        <f t="shared" si="9"/>
      </c>
      <c r="L35" s="113"/>
      <c r="M35" s="114"/>
      <c r="N35" s="115"/>
      <c r="O35" s="116"/>
      <c r="P35" s="105"/>
      <c r="Q35" s="113"/>
      <c r="R35" s="114"/>
      <c r="S35" s="115"/>
      <c r="T35" s="116"/>
      <c r="U35" s="105"/>
      <c r="V35" s="131"/>
      <c r="W35" s="30"/>
      <c r="X35" s="31"/>
      <c r="Y35" s="31"/>
      <c r="Z35" s="32"/>
      <c r="AA35" s="29"/>
      <c r="AB35" s="33"/>
      <c r="AC35" s="33"/>
      <c r="AD35" s="4"/>
      <c r="AH35" s="228"/>
      <c r="AI35" s="230"/>
      <c r="AJ35" s="229"/>
      <c r="AK35" s="230"/>
      <c r="AL35" s="324"/>
      <c r="AM35" s="328"/>
    </row>
    <row r="36" spans="1:39" ht="12.75">
      <c r="A36" s="233">
        <v>26</v>
      </c>
      <c r="B36" s="111" t="s">
        <v>58</v>
      </c>
      <c r="C36" s="613" t="s">
        <v>48</v>
      </c>
      <c r="D36" s="613" t="s">
        <v>47</v>
      </c>
      <c r="E36" s="154" t="str">
        <f t="shared" si="5"/>
        <v>No Criteria</v>
      </c>
      <c r="F36" s="245">
        <f t="shared" si="10"/>
      </c>
      <c r="G36" s="214">
        <f t="shared" si="0"/>
      </c>
      <c r="H36" s="215">
        <f t="shared" si="1"/>
      </c>
      <c r="I36" s="224">
        <f t="shared" si="2"/>
      </c>
      <c r="J36" s="422">
        <f t="shared" si="8"/>
      </c>
      <c r="K36" s="421">
        <f t="shared" si="9"/>
      </c>
      <c r="L36" s="113"/>
      <c r="M36" s="114"/>
      <c r="N36" s="115"/>
      <c r="O36" s="116"/>
      <c r="P36" s="105"/>
      <c r="Q36" s="113"/>
      <c r="R36" s="114"/>
      <c r="S36" s="115"/>
      <c r="T36" s="116"/>
      <c r="U36" s="105"/>
      <c r="V36" s="131"/>
      <c r="W36" s="30"/>
      <c r="X36" s="31"/>
      <c r="Y36" s="31"/>
      <c r="Z36" s="32"/>
      <c r="AA36" s="29"/>
      <c r="AB36" s="33"/>
      <c r="AC36" s="33"/>
      <c r="AD36" s="4"/>
      <c r="AH36" s="228"/>
      <c r="AI36" s="230"/>
      <c r="AJ36" s="229"/>
      <c r="AK36" s="230"/>
      <c r="AL36" s="324"/>
      <c r="AM36" s="328"/>
    </row>
    <row r="37" spans="1:39" ht="12.75">
      <c r="A37" s="233">
        <v>27</v>
      </c>
      <c r="B37" s="111" t="s">
        <v>59</v>
      </c>
      <c r="C37" s="613" t="s">
        <v>48</v>
      </c>
      <c r="D37" s="613" t="s">
        <v>47</v>
      </c>
      <c r="E37" s="152">
        <f t="shared" si="5"/>
        <v>46</v>
      </c>
      <c r="F37" s="245" t="str">
        <f t="shared" si="10"/>
        <v>CTR HH</v>
      </c>
      <c r="G37" s="214">
        <f t="shared" si="0"/>
      </c>
      <c r="H37" s="215">
        <f t="shared" si="1"/>
      </c>
      <c r="I37" s="224">
        <f t="shared" si="2"/>
        <v>46</v>
      </c>
      <c r="J37" s="422">
        <f t="shared" si="8"/>
      </c>
      <c r="K37" s="421">
        <f t="shared" si="9"/>
      </c>
      <c r="L37" s="113"/>
      <c r="M37" s="114"/>
      <c r="N37" s="115"/>
      <c r="O37" s="116"/>
      <c r="P37" s="105"/>
      <c r="Q37" s="113"/>
      <c r="R37" s="114"/>
      <c r="S37" s="115"/>
      <c r="T37" s="116"/>
      <c r="U37" s="105"/>
      <c r="V37" s="127">
        <v>46</v>
      </c>
      <c r="W37" s="30"/>
      <c r="X37" s="31"/>
      <c r="Y37" s="31"/>
      <c r="Z37" s="32"/>
      <c r="AA37" s="29"/>
      <c r="AB37" s="33"/>
      <c r="AC37" s="33"/>
      <c r="AD37" s="4"/>
      <c r="AH37" s="228"/>
      <c r="AI37" s="230"/>
      <c r="AJ37" s="229"/>
      <c r="AK37" s="230"/>
      <c r="AL37" s="324"/>
      <c r="AM37" s="328"/>
    </row>
    <row r="38" spans="1:39" ht="12.75">
      <c r="A38" s="233">
        <v>28</v>
      </c>
      <c r="B38" s="111" t="s">
        <v>60</v>
      </c>
      <c r="C38" s="613" t="s">
        <v>48</v>
      </c>
      <c r="D38" s="613" t="s">
        <v>47</v>
      </c>
      <c r="E38" s="154" t="str">
        <f t="shared" si="5"/>
        <v>No Criteria</v>
      </c>
      <c r="F38" s="245">
        <f t="shared" si="10"/>
      </c>
      <c r="G38" s="214">
        <f t="shared" si="0"/>
      </c>
      <c r="H38" s="215">
        <f t="shared" si="1"/>
      </c>
      <c r="I38" s="224">
        <f t="shared" si="2"/>
      </c>
      <c r="J38" s="422">
        <f t="shared" si="8"/>
      </c>
      <c r="K38" s="421">
        <f t="shared" si="9"/>
      </c>
      <c r="L38" s="113"/>
      <c r="M38" s="114"/>
      <c r="N38" s="115"/>
      <c r="O38" s="116"/>
      <c r="P38" s="105"/>
      <c r="Q38" s="113"/>
      <c r="R38" s="114"/>
      <c r="S38" s="115"/>
      <c r="T38" s="116"/>
      <c r="U38" s="105"/>
      <c r="V38" s="131"/>
      <c r="W38" s="30"/>
      <c r="X38" s="31"/>
      <c r="Y38" s="31"/>
      <c r="Z38" s="32"/>
      <c r="AA38" s="29"/>
      <c r="AB38" s="33"/>
      <c r="AC38" s="33"/>
      <c r="AD38" s="4"/>
      <c r="AH38" s="228"/>
      <c r="AI38" s="230"/>
      <c r="AJ38" s="229"/>
      <c r="AK38" s="230"/>
      <c r="AL38" s="324"/>
      <c r="AM38" s="328"/>
    </row>
    <row r="39" spans="1:39" ht="12.75">
      <c r="A39" s="233">
        <v>29</v>
      </c>
      <c r="B39" s="111" t="s">
        <v>61</v>
      </c>
      <c r="C39" s="613" t="s">
        <v>48</v>
      </c>
      <c r="D39" s="613" t="s">
        <v>47</v>
      </c>
      <c r="E39" s="152">
        <f t="shared" si="5"/>
        <v>99</v>
      </c>
      <c r="F39" s="245" t="str">
        <f t="shared" si="10"/>
        <v>CTR HH</v>
      </c>
      <c r="G39" s="214">
        <f t="shared" si="0"/>
      </c>
      <c r="H39" s="215">
        <f t="shared" si="1"/>
      </c>
      <c r="I39" s="224">
        <f t="shared" si="2"/>
        <v>99</v>
      </c>
      <c r="J39" s="422">
        <f t="shared" si="8"/>
      </c>
      <c r="K39" s="421">
        <f t="shared" si="9"/>
      </c>
      <c r="L39" s="113"/>
      <c r="M39" s="114"/>
      <c r="N39" s="115"/>
      <c r="O39" s="116"/>
      <c r="P39" s="105"/>
      <c r="Q39" s="113"/>
      <c r="R39" s="114"/>
      <c r="S39" s="115"/>
      <c r="T39" s="116"/>
      <c r="U39" s="105"/>
      <c r="V39" s="127">
        <v>99</v>
      </c>
      <c r="W39" s="30"/>
      <c r="X39" s="31"/>
      <c r="Y39" s="31"/>
      <c r="Z39" s="32"/>
      <c r="AA39" s="29"/>
      <c r="AB39" s="33"/>
      <c r="AC39" s="33"/>
      <c r="AD39" s="4"/>
      <c r="AH39" s="228"/>
      <c r="AI39" s="230"/>
      <c r="AJ39" s="229"/>
      <c r="AK39" s="230"/>
      <c r="AL39" s="324"/>
      <c r="AM39" s="328"/>
    </row>
    <row r="40" spans="1:39" ht="12.75">
      <c r="A40" s="233">
        <v>30</v>
      </c>
      <c r="B40" s="111" t="s">
        <v>62</v>
      </c>
      <c r="C40" s="613" t="s">
        <v>48</v>
      </c>
      <c r="D40" s="613" t="s">
        <v>47</v>
      </c>
      <c r="E40" s="149">
        <f t="shared" si="5"/>
        <v>3.2</v>
      </c>
      <c r="F40" s="245" t="str">
        <f t="shared" si="10"/>
        <v>CTR HH</v>
      </c>
      <c r="G40" s="214">
        <f t="shared" si="0"/>
      </c>
      <c r="H40" s="215">
        <f t="shared" si="1"/>
      </c>
      <c r="I40" s="224">
        <f t="shared" si="2"/>
        <v>3.2</v>
      </c>
      <c r="J40" s="422">
        <f t="shared" si="8"/>
      </c>
      <c r="K40" s="421">
        <f t="shared" si="9"/>
      </c>
      <c r="L40" s="113"/>
      <c r="M40" s="114"/>
      <c r="N40" s="115"/>
      <c r="O40" s="116"/>
      <c r="P40" s="105"/>
      <c r="Q40" s="113"/>
      <c r="R40" s="114"/>
      <c r="S40" s="115"/>
      <c r="T40" s="116"/>
      <c r="U40" s="105"/>
      <c r="V40" s="129">
        <v>3.2</v>
      </c>
      <c r="W40" s="30"/>
      <c r="X40" s="31"/>
      <c r="Y40" s="31"/>
      <c r="Z40" s="32"/>
      <c r="AA40" s="29"/>
      <c r="AB40" s="33"/>
      <c r="AC40" s="33"/>
      <c r="AD40" s="4"/>
      <c r="AH40" s="228"/>
      <c r="AI40" s="230"/>
      <c r="AJ40" s="229"/>
      <c r="AK40" s="230"/>
      <c r="AL40" s="324"/>
      <c r="AM40" s="328"/>
    </row>
    <row r="41" spans="1:39" ht="12.75">
      <c r="A41" s="233">
        <v>31</v>
      </c>
      <c r="B41" s="111" t="s">
        <v>63</v>
      </c>
      <c r="C41" s="613" t="s">
        <v>48</v>
      </c>
      <c r="D41" s="613" t="s">
        <v>47</v>
      </c>
      <c r="E41" s="155">
        <f t="shared" si="5"/>
        <v>39</v>
      </c>
      <c r="F41" s="245" t="str">
        <f t="shared" si="10"/>
        <v>CTR HH</v>
      </c>
      <c r="G41" s="214">
        <f t="shared" si="0"/>
      </c>
      <c r="H41" s="215">
        <f t="shared" si="1"/>
      </c>
      <c r="I41" s="224">
        <f t="shared" si="2"/>
        <v>39</v>
      </c>
      <c r="J41" s="422">
        <f t="shared" si="8"/>
      </c>
      <c r="K41" s="421">
        <f t="shared" si="9"/>
      </c>
      <c r="L41" s="113"/>
      <c r="M41" s="114"/>
      <c r="N41" s="115"/>
      <c r="O41" s="116"/>
      <c r="P41" s="105"/>
      <c r="Q41" s="113"/>
      <c r="R41" s="114"/>
      <c r="S41" s="115"/>
      <c r="T41" s="116"/>
      <c r="U41" s="105"/>
      <c r="V41" s="127">
        <v>39</v>
      </c>
      <c r="W41" s="30"/>
      <c r="X41" s="31"/>
      <c r="Y41" s="31"/>
      <c r="Z41" s="32"/>
      <c r="AA41" s="29"/>
      <c r="AB41" s="33"/>
      <c r="AC41" s="33"/>
      <c r="AD41" s="4"/>
      <c r="AH41" s="228"/>
      <c r="AI41" s="230"/>
      <c r="AJ41" s="229"/>
      <c r="AK41" s="230"/>
      <c r="AL41" s="324"/>
      <c r="AM41" s="328"/>
    </row>
    <row r="42" spans="1:39" ht="12.75">
      <c r="A42" s="233">
        <v>32</v>
      </c>
      <c r="B42" s="111" t="s">
        <v>64</v>
      </c>
      <c r="C42" s="613" t="s">
        <v>48</v>
      </c>
      <c r="D42" s="613" t="s">
        <v>47</v>
      </c>
      <c r="E42" s="155">
        <f t="shared" si="5"/>
        <v>1700</v>
      </c>
      <c r="F42" s="245" t="str">
        <f t="shared" si="10"/>
        <v>CTR HH</v>
      </c>
      <c r="G42" s="214">
        <f aca="true" t="shared" si="11" ref="G42:G73">IF(J42&lt;&gt;"",J42,IF(zSSORegion&lt;&gt;"South Dumbarton Bridge",IF(zSalinity="Freshwater",IF(MIN(L42,Q42)&gt;0,MIN(L42,Q42),""),IF(zSalinity="Saltwater",IF(MIN(N42,S42)&gt;0,MIN(N42,S42),""),IF(MIN(L42,N42,Q42,S42)&gt;0,MIN(L42,N42,Q42,S42),""))),IF(zSalinity="Freshwater",IF(Q42&gt;0,Q42,""),IF(zSalinity="Saltwater",IF(S42&gt;0,S42,""),IF(MIN(Q42,S42)&gt;0,MIN(Q42,S42),"")))))</f>
      </c>
      <c r="H42" s="215">
        <f aca="true" t="shared" si="12" ref="H42:H73">IF(K42&lt;&gt;"",K42,IF(zSSORegion&lt;&gt;"South Dumbarton Bridge",IF(zSalinity="Freshwater",IF(MIN(M42,R42)&gt;0,MIN(M42,R42),""),IF(zSalinity="Saltwater",IF(MIN(O42,T42)&gt;0,MIN(O42,T42),""),IF(MIN(M42,O42,R42,T42)&gt;0,MIN(M42,O42,R42,T42),""))),IF(zSalinity="Freshwater",IF(R42&gt;0,R42,""),IF(zSalinity="Saltwater",IF(T42&gt;0,T42,""),IF(MIN(R42,T42)&gt;0,MIN(R42,T42),"")))))</f>
      </c>
      <c r="I42" s="224">
        <f aca="true" t="shared" si="13" ref="I42:I73">IF(zSSORegion&lt;&gt;"South Dumbarton Bridge",IF(MIN(P42,U42,V42)&gt;0,MIN(P42,U42,V42),""),IF(MIN(U42,V42)&gt;0,MIN(U42,V42),""))</f>
        <v>1700</v>
      </c>
      <c r="J42" s="422">
        <f t="shared" si="8"/>
      </c>
      <c r="K42" s="421">
        <f t="shared" si="9"/>
      </c>
      <c r="L42" s="113"/>
      <c r="M42" s="114"/>
      <c r="N42" s="115"/>
      <c r="O42" s="116"/>
      <c r="P42" s="105"/>
      <c r="Q42" s="113"/>
      <c r="R42" s="114"/>
      <c r="S42" s="115"/>
      <c r="T42" s="116"/>
      <c r="U42" s="105"/>
      <c r="V42" s="130">
        <v>1700</v>
      </c>
      <c r="W42" s="30"/>
      <c r="X42" s="31"/>
      <c r="Y42" s="31"/>
      <c r="Z42" s="32"/>
      <c r="AA42" s="29"/>
      <c r="AB42" s="33"/>
      <c r="AC42" s="33"/>
      <c r="AD42" s="4"/>
      <c r="AH42" s="228"/>
      <c r="AI42" s="230"/>
      <c r="AJ42" s="229"/>
      <c r="AK42" s="230"/>
      <c r="AL42" s="324"/>
      <c r="AM42" s="328"/>
    </row>
    <row r="43" spans="1:39" ht="12.75">
      <c r="A43" s="233">
        <v>33</v>
      </c>
      <c r="B43" s="111" t="s">
        <v>65</v>
      </c>
      <c r="C43" s="613" t="s">
        <v>48</v>
      </c>
      <c r="D43" s="613" t="s">
        <v>47</v>
      </c>
      <c r="E43" s="155">
        <f t="shared" si="5"/>
        <v>29000</v>
      </c>
      <c r="F43" s="245" t="str">
        <f t="shared" si="10"/>
        <v>CTR HH</v>
      </c>
      <c r="G43" s="214">
        <f t="shared" si="11"/>
      </c>
      <c r="H43" s="215">
        <f t="shared" si="12"/>
      </c>
      <c r="I43" s="224">
        <f t="shared" si="13"/>
        <v>29000</v>
      </c>
      <c r="J43" s="422">
        <f t="shared" si="8"/>
      </c>
      <c r="K43" s="421">
        <f t="shared" si="9"/>
      </c>
      <c r="L43" s="113"/>
      <c r="M43" s="114"/>
      <c r="N43" s="115"/>
      <c r="O43" s="116"/>
      <c r="P43" s="105"/>
      <c r="Q43" s="113"/>
      <c r="R43" s="114"/>
      <c r="S43" s="115"/>
      <c r="T43" s="116"/>
      <c r="U43" s="105"/>
      <c r="V43" s="130">
        <v>29000</v>
      </c>
      <c r="W43" s="30"/>
      <c r="X43" s="31"/>
      <c r="Y43" s="31"/>
      <c r="Z43" s="32"/>
      <c r="AA43" s="29"/>
      <c r="AB43" s="33"/>
      <c r="AC43" s="33"/>
      <c r="AD43" s="4"/>
      <c r="AH43" s="228"/>
      <c r="AI43" s="230"/>
      <c r="AJ43" s="229"/>
      <c r="AK43" s="230"/>
      <c r="AL43" s="324"/>
      <c r="AM43" s="328"/>
    </row>
    <row r="44" spans="1:39" ht="12.75">
      <c r="A44" s="233">
        <v>34</v>
      </c>
      <c r="B44" s="111" t="s">
        <v>66</v>
      </c>
      <c r="C44" s="613" t="s">
        <v>48</v>
      </c>
      <c r="D44" s="613" t="s">
        <v>47</v>
      </c>
      <c r="E44" s="155">
        <f t="shared" si="5"/>
        <v>4000</v>
      </c>
      <c r="F44" s="245" t="str">
        <f t="shared" si="10"/>
        <v>CTR HH</v>
      </c>
      <c r="G44" s="214">
        <f t="shared" si="11"/>
      </c>
      <c r="H44" s="215">
        <f t="shared" si="12"/>
      </c>
      <c r="I44" s="224">
        <f t="shared" si="13"/>
        <v>4000</v>
      </c>
      <c r="J44" s="422">
        <f t="shared" si="8"/>
      </c>
      <c r="K44" s="421">
        <f t="shared" si="9"/>
      </c>
      <c r="L44" s="113"/>
      <c r="M44" s="114"/>
      <c r="N44" s="115"/>
      <c r="O44" s="116"/>
      <c r="P44" s="105"/>
      <c r="Q44" s="113"/>
      <c r="R44" s="114"/>
      <c r="S44" s="115"/>
      <c r="T44" s="116"/>
      <c r="U44" s="105"/>
      <c r="V44" s="130">
        <v>4000</v>
      </c>
      <c r="W44" s="30"/>
      <c r="X44" s="31"/>
      <c r="Y44" s="31"/>
      <c r="Z44" s="32"/>
      <c r="AA44" s="29"/>
      <c r="AB44" s="33"/>
      <c r="AC44" s="33"/>
      <c r="AD44" s="4"/>
      <c r="AH44" s="228"/>
      <c r="AI44" s="230"/>
      <c r="AJ44" s="229"/>
      <c r="AK44" s="230"/>
      <c r="AL44" s="324"/>
      <c r="AM44" s="328"/>
    </row>
    <row r="45" spans="1:39" ht="12.75">
      <c r="A45" s="233">
        <v>35</v>
      </c>
      <c r="B45" s="111" t="s">
        <v>67</v>
      </c>
      <c r="C45" s="613" t="s">
        <v>48</v>
      </c>
      <c r="D45" s="613" t="s">
        <v>47</v>
      </c>
      <c r="E45" s="154" t="str">
        <f t="shared" si="5"/>
        <v>No Criteria</v>
      </c>
      <c r="F45" s="245">
        <f t="shared" si="10"/>
      </c>
      <c r="G45" s="214">
        <f t="shared" si="11"/>
      </c>
      <c r="H45" s="215">
        <f t="shared" si="12"/>
      </c>
      <c r="I45" s="224">
        <f t="shared" si="13"/>
      </c>
      <c r="J45" s="422">
        <f t="shared" si="8"/>
      </c>
      <c r="K45" s="421">
        <f t="shared" si="9"/>
      </c>
      <c r="L45" s="113"/>
      <c r="M45" s="114"/>
      <c r="N45" s="115"/>
      <c r="O45" s="116"/>
      <c r="P45" s="105"/>
      <c r="Q45" s="113"/>
      <c r="R45" s="114"/>
      <c r="S45" s="115"/>
      <c r="T45" s="116"/>
      <c r="U45" s="105"/>
      <c r="V45" s="127"/>
      <c r="W45" s="30"/>
      <c r="X45" s="31"/>
      <c r="Y45" s="31"/>
      <c r="Z45" s="32"/>
      <c r="AA45" s="29"/>
      <c r="AB45" s="33"/>
      <c r="AC45" s="33"/>
      <c r="AD45" s="4"/>
      <c r="AH45" s="228"/>
      <c r="AI45" s="230"/>
      <c r="AJ45" s="229"/>
      <c r="AK45" s="230"/>
      <c r="AL45" s="324"/>
      <c r="AM45" s="328"/>
    </row>
    <row r="46" spans="1:39" ht="12.75">
      <c r="A46" s="233">
        <v>36</v>
      </c>
      <c r="B46" s="111" t="s">
        <v>68</v>
      </c>
      <c r="C46" s="613" t="s">
        <v>48</v>
      </c>
      <c r="D46" s="613" t="s">
        <v>47</v>
      </c>
      <c r="E46" s="155">
        <f t="shared" si="5"/>
        <v>1600</v>
      </c>
      <c r="F46" s="245" t="str">
        <f t="shared" si="10"/>
        <v>CTR HH</v>
      </c>
      <c r="G46" s="214">
        <f t="shared" si="11"/>
      </c>
      <c r="H46" s="215">
        <f t="shared" si="12"/>
      </c>
      <c r="I46" s="224">
        <f t="shared" si="13"/>
        <v>1600</v>
      </c>
      <c r="J46" s="422">
        <f t="shared" si="8"/>
      </c>
      <c r="K46" s="421">
        <f t="shared" si="9"/>
      </c>
      <c r="L46" s="113"/>
      <c r="M46" s="114"/>
      <c r="N46" s="115"/>
      <c r="O46" s="116"/>
      <c r="P46" s="105"/>
      <c r="Q46" s="113"/>
      <c r="R46" s="114"/>
      <c r="S46" s="115"/>
      <c r="T46" s="116"/>
      <c r="U46" s="105"/>
      <c r="V46" s="130">
        <v>1600</v>
      </c>
      <c r="W46" s="30"/>
      <c r="X46" s="31"/>
      <c r="Y46" s="31"/>
      <c r="Z46" s="32"/>
      <c r="AA46" s="29"/>
      <c r="AB46" s="33"/>
      <c r="AC46" s="33"/>
      <c r="AD46" s="4"/>
      <c r="AH46" s="228"/>
      <c r="AI46" s="230"/>
      <c r="AJ46" s="229"/>
      <c r="AK46" s="230"/>
      <c r="AL46" s="324"/>
      <c r="AM46" s="328"/>
    </row>
    <row r="47" spans="1:39" ht="12.75">
      <c r="A47" s="233">
        <v>37</v>
      </c>
      <c r="B47" s="111" t="s">
        <v>69</v>
      </c>
      <c r="C47" s="613" t="s">
        <v>48</v>
      </c>
      <c r="D47" s="613" t="s">
        <v>47</v>
      </c>
      <c r="E47" s="155">
        <f t="shared" si="5"/>
        <v>11</v>
      </c>
      <c r="F47" s="245" t="str">
        <f aca="true" t="shared" si="14" ref="F47:F59">IF(MIN(J47:K47)=E47,"BP SSO",IF(MIN(L47:M47)=E47,"BP FW",IF(MIN(N47:O47)=E47,"BP SW",IF(P47=E47,"BP HH",IF(MIN(Q47:R47)=E47,"CTR FW",IF(MIN(S47:T47)=E47,"CTR SW",IF(MIN(U47:V47)=E47,"CTR HH","")))))))</f>
        <v>CTR HH</v>
      </c>
      <c r="G47" s="214">
        <f t="shared" si="11"/>
      </c>
      <c r="H47" s="215">
        <f t="shared" si="12"/>
      </c>
      <c r="I47" s="224">
        <f t="shared" si="13"/>
        <v>11</v>
      </c>
      <c r="J47" s="422">
        <f t="shared" si="8"/>
      </c>
      <c r="K47" s="421">
        <f t="shared" si="9"/>
      </c>
      <c r="L47" s="113"/>
      <c r="M47" s="114"/>
      <c r="N47" s="115"/>
      <c r="O47" s="116"/>
      <c r="P47" s="105"/>
      <c r="Q47" s="113"/>
      <c r="R47" s="114"/>
      <c r="S47" s="115"/>
      <c r="T47" s="116"/>
      <c r="U47" s="105"/>
      <c r="V47" s="127">
        <v>11</v>
      </c>
      <c r="W47" s="30"/>
      <c r="X47" s="31"/>
      <c r="Y47" s="31"/>
      <c r="Z47" s="32"/>
      <c r="AA47" s="29"/>
      <c r="AB47" s="33"/>
      <c r="AC47" s="33"/>
      <c r="AD47" s="4"/>
      <c r="AH47" s="228"/>
      <c r="AI47" s="230"/>
      <c r="AJ47" s="229"/>
      <c r="AK47" s="230"/>
      <c r="AL47" s="324"/>
      <c r="AM47" s="328"/>
    </row>
    <row r="48" spans="1:39" ht="12.75">
      <c r="A48" s="233">
        <v>38</v>
      </c>
      <c r="B48" s="111" t="s">
        <v>70</v>
      </c>
      <c r="C48" s="613" t="s">
        <v>48</v>
      </c>
      <c r="D48" s="613" t="s">
        <v>47</v>
      </c>
      <c r="E48" s="149">
        <f t="shared" si="5"/>
        <v>8.85</v>
      </c>
      <c r="F48" s="245" t="str">
        <f t="shared" si="14"/>
        <v>CTR HH</v>
      </c>
      <c r="G48" s="214">
        <f t="shared" si="11"/>
      </c>
      <c r="H48" s="215">
        <f t="shared" si="12"/>
      </c>
      <c r="I48" s="224">
        <f t="shared" si="13"/>
        <v>8.85</v>
      </c>
      <c r="J48" s="422">
        <f t="shared" si="8"/>
      </c>
      <c r="K48" s="421">
        <f t="shared" si="9"/>
      </c>
      <c r="L48" s="113"/>
      <c r="M48" s="114"/>
      <c r="N48" s="115"/>
      <c r="O48" s="116"/>
      <c r="P48" s="105"/>
      <c r="Q48" s="113"/>
      <c r="R48" s="114"/>
      <c r="S48" s="115"/>
      <c r="T48" s="116"/>
      <c r="U48" s="105"/>
      <c r="V48" s="128">
        <v>8.85</v>
      </c>
      <c r="W48" s="30"/>
      <c r="X48" s="31"/>
      <c r="Y48" s="31"/>
      <c r="Z48" s="32"/>
      <c r="AA48" s="29"/>
      <c r="AB48" s="33"/>
      <c r="AC48" s="33"/>
      <c r="AD48" s="4"/>
      <c r="AH48" s="228"/>
      <c r="AI48" s="230"/>
      <c r="AJ48" s="229"/>
      <c r="AK48" s="230"/>
      <c r="AL48" s="324"/>
      <c r="AM48" s="328"/>
    </row>
    <row r="49" spans="1:39" ht="12.75">
      <c r="A49" s="233">
        <v>39</v>
      </c>
      <c r="B49" s="111" t="s">
        <v>71</v>
      </c>
      <c r="C49" s="613" t="s">
        <v>48</v>
      </c>
      <c r="D49" s="613" t="s">
        <v>47</v>
      </c>
      <c r="E49" s="155">
        <f t="shared" si="5"/>
        <v>200000</v>
      </c>
      <c r="F49" s="245" t="str">
        <f t="shared" si="14"/>
        <v>CTR HH</v>
      </c>
      <c r="G49" s="214">
        <f t="shared" si="11"/>
      </c>
      <c r="H49" s="215">
        <f t="shared" si="12"/>
      </c>
      <c r="I49" s="224">
        <f t="shared" si="13"/>
        <v>200000</v>
      </c>
      <c r="J49" s="422">
        <f t="shared" si="8"/>
      </c>
      <c r="K49" s="421">
        <f t="shared" si="9"/>
      </c>
      <c r="L49" s="113"/>
      <c r="M49" s="114"/>
      <c r="N49" s="115"/>
      <c r="O49" s="116"/>
      <c r="P49" s="105"/>
      <c r="Q49" s="113"/>
      <c r="R49" s="114"/>
      <c r="S49" s="115"/>
      <c r="T49" s="116"/>
      <c r="U49" s="105"/>
      <c r="V49" s="130">
        <v>200000</v>
      </c>
      <c r="W49" s="30"/>
      <c r="X49" s="31"/>
      <c r="Y49" s="31"/>
      <c r="Z49" s="32"/>
      <c r="AA49" s="29"/>
      <c r="AB49" s="33"/>
      <c r="AC49" s="33"/>
      <c r="AD49" s="4"/>
      <c r="AH49" s="228"/>
      <c r="AI49" s="230"/>
      <c r="AJ49" s="229"/>
      <c r="AK49" s="230"/>
      <c r="AL49" s="324"/>
      <c r="AM49" s="328"/>
    </row>
    <row r="50" spans="1:39" ht="12.75">
      <c r="A50" s="233">
        <v>40</v>
      </c>
      <c r="B50" s="111" t="s">
        <v>72</v>
      </c>
      <c r="C50" s="613" t="s">
        <v>48</v>
      </c>
      <c r="D50" s="613" t="s">
        <v>47</v>
      </c>
      <c r="E50" s="155">
        <f t="shared" si="5"/>
        <v>140000</v>
      </c>
      <c r="F50" s="245" t="str">
        <f t="shared" si="14"/>
        <v>CTR HH</v>
      </c>
      <c r="G50" s="214">
        <f t="shared" si="11"/>
      </c>
      <c r="H50" s="215">
        <f t="shared" si="12"/>
      </c>
      <c r="I50" s="224">
        <f t="shared" si="13"/>
        <v>140000</v>
      </c>
      <c r="J50" s="422">
        <f t="shared" si="8"/>
      </c>
      <c r="K50" s="421">
        <f t="shared" si="9"/>
      </c>
      <c r="L50" s="113"/>
      <c r="M50" s="114"/>
      <c r="N50" s="115"/>
      <c r="O50" s="116"/>
      <c r="P50" s="105"/>
      <c r="Q50" s="113"/>
      <c r="R50" s="114"/>
      <c r="S50" s="115"/>
      <c r="T50" s="116"/>
      <c r="U50" s="105"/>
      <c r="V50" s="130">
        <v>140000</v>
      </c>
      <c r="W50" s="30"/>
      <c r="X50" s="31"/>
      <c r="Y50" s="31"/>
      <c r="Z50" s="32"/>
      <c r="AA50" s="29"/>
      <c r="AB50" s="33"/>
      <c r="AC50" s="33"/>
      <c r="AD50" s="4"/>
      <c r="AH50" s="228"/>
      <c r="AI50" s="230"/>
      <c r="AJ50" s="229"/>
      <c r="AK50" s="230"/>
      <c r="AL50" s="324"/>
      <c r="AM50" s="328"/>
    </row>
    <row r="51" spans="1:39" ht="12.75">
      <c r="A51" s="233">
        <v>41</v>
      </c>
      <c r="B51" s="111" t="s">
        <v>73</v>
      </c>
      <c r="C51" s="613" t="s">
        <v>48</v>
      </c>
      <c r="D51" s="613" t="s">
        <v>47</v>
      </c>
      <c r="E51" s="154" t="str">
        <f t="shared" si="5"/>
        <v>No Criteria</v>
      </c>
      <c r="F51" s="245">
        <f t="shared" si="14"/>
      </c>
      <c r="G51" s="214">
        <f t="shared" si="11"/>
      </c>
      <c r="H51" s="215">
        <f t="shared" si="12"/>
      </c>
      <c r="I51" s="224">
        <f t="shared" si="13"/>
      </c>
      <c r="J51" s="422">
        <f t="shared" si="8"/>
      </c>
      <c r="K51" s="421">
        <f t="shared" si="9"/>
      </c>
      <c r="L51" s="113"/>
      <c r="M51" s="114"/>
      <c r="N51" s="115"/>
      <c r="O51" s="116"/>
      <c r="P51" s="105"/>
      <c r="Q51" s="113"/>
      <c r="R51" s="114"/>
      <c r="S51" s="115"/>
      <c r="T51" s="116"/>
      <c r="U51" s="105"/>
      <c r="V51" s="127"/>
      <c r="W51" s="30"/>
      <c r="X51" s="31"/>
      <c r="Y51" s="31"/>
      <c r="Z51" s="32"/>
      <c r="AA51" s="29"/>
      <c r="AB51" s="33"/>
      <c r="AC51" s="33"/>
      <c r="AD51" s="4"/>
      <c r="AH51" s="228"/>
      <c r="AI51" s="230"/>
      <c r="AJ51" s="229"/>
      <c r="AK51" s="230"/>
      <c r="AL51" s="324"/>
      <c r="AM51" s="328"/>
    </row>
    <row r="52" spans="1:39" ht="12.75">
      <c r="A52" s="233">
        <v>42</v>
      </c>
      <c r="B52" s="111" t="s">
        <v>74</v>
      </c>
      <c r="C52" s="613" t="s">
        <v>48</v>
      </c>
      <c r="D52" s="613" t="s">
        <v>47</v>
      </c>
      <c r="E52" s="155">
        <f t="shared" si="5"/>
        <v>42</v>
      </c>
      <c r="F52" s="245" t="str">
        <f t="shared" si="14"/>
        <v>CTR HH</v>
      </c>
      <c r="G52" s="214">
        <f t="shared" si="11"/>
      </c>
      <c r="H52" s="215">
        <f t="shared" si="12"/>
      </c>
      <c r="I52" s="224">
        <f t="shared" si="13"/>
        <v>42</v>
      </c>
      <c r="J52" s="422">
        <f t="shared" si="8"/>
      </c>
      <c r="K52" s="421">
        <f t="shared" si="9"/>
      </c>
      <c r="L52" s="113"/>
      <c r="M52" s="114"/>
      <c r="N52" s="115"/>
      <c r="O52" s="116"/>
      <c r="P52" s="105"/>
      <c r="Q52" s="113"/>
      <c r="R52" s="114"/>
      <c r="S52" s="115"/>
      <c r="T52" s="116"/>
      <c r="U52" s="105"/>
      <c r="V52" s="127">
        <v>42</v>
      </c>
      <c r="W52" s="30"/>
      <c r="X52" s="31"/>
      <c r="Y52" s="31"/>
      <c r="Z52" s="32"/>
      <c r="AA52" s="29"/>
      <c r="AB52" s="33"/>
      <c r="AC52" s="33"/>
      <c r="AD52" s="4"/>
      <c r="AH52" s="228"/>
      <c r="AI52" s="230"/>
      <c r="AJ52" s="229"/>
      <c r="AK52" s="230"/>
      <c r="AL52" s="324"/>
      <c r="AM52" s="328"/>
    </row>
    <row r="53" spans="1:39" ht="12.75">
      <c r="A53" s="233">
        <v>43</v>
      </c>
      <c r="B53" s="111" t="s">
        <v>75</v>
      </c>
      <c r="C53" s="613" t="s">
        <v>48</v>
      </c>
      <c r="D53" s="613" t="s">
        <v>47</v>
      </c>
      <c r="E53" s="155">
        <f t="shared" si="5"/>
        <v>81</v>
      </c>
      <c r="F53" s="245" t="str">
        <f t="shared" si="14"/>
        <v>CTR HH</v>
      </c>
      <c r="G53" s="214">
        <f t="shared" si="11"/>
      </c>
      <c r="H53" s="215">
        <f t="shared" si="12"/>
      </c>
      <c r="I53" s="224">
        <f t="shared" si="13"/>
        <v>81</v>
      </c>
      <c r="J53" s="422">
        <f t="shared" si="8"/>
      </c>
      <c r="K53" s="421">
        <f t="shared" si="9"/>
      </c>
      <c r="L53" s="113"/>
      <c r="M53" s="114"/>
      <c r="N53" s="115"/>
      <c r="O53" s="116"/>
      <c r="P53" s="105"/>
      <c r="Q53" s="113"/>
      <c r="R53" s="114"/>
      <c r="S53" s="115"/>
      <c r="T53" s="116"/>
      <c r="U53" s="105"/>
      <c r="V53" s="127">
        <v>81</v>
      </c>
      <c r="W53" s="30"/>
      <c r="X53" s="31"/>
      <c r="Y53" s="31"/>
      <c r="Z53" s="32"/>
      <c r="AA53" s="29"/>
      <c r="AB53" s="33"/>
      <c r="AC53" s="33"/>
      <c r="AD53" s="4"/>
      <c r="AH53" s="228"/>
      <c r="AI53" s="230"/>
      <c r="AJ53" s="229"/>
      <c r="AK53" s="230"/>
      <c r="AL53" s="324"/>
      <c r="AM53" s="328"/>
    </row>
    <row r="54" spans="1:39" ht="12.75">
      <c r="A54" s="233">
        <v>44</v>
      </c>
      <c r="B54" s="111" t="s">
        <v>76</v>
      </c>
      <c r="C54" s="613" t="s">
        <v>48</v>
      </c>
      <c r="D54" s="613" t="s">
        <v>47</v>
      </c>
      <c r="E54" s="155">
        <f t="shared" si="5"/>
        <v>525</v>
      </c>
      <c r="F54" s="245" t="str">
        <f t="shared" si="14"/>
        <v>CTR HH</v>
      </c>
      <c r="G54" s="214">
        <f t="shared" si="11"/>
      </c>
      <c r="H54" s="215">
        <f t="shared" si="12"/>
      </c>
      <c r="I54" s="224">
        <f t="shared" si="13"/>
        <v>525</v>
      </c>
      <c r="J54" s="422">
        <f t="shared" si="8"/>
      </c>
      <c r="K54" s="421">
        <f t="shared" si="9"/>
      </c>
      <c r="L54" s="113"/>
      <c r="M54" s="114"/>
      <c r="N54" s="115"/>
      <c r="O54" s="116"/>
      <c r="P54" s="105"/>
      <c r="Q54" s="113"/>
      <c r="R54" s="114"/>
      <c r="S54" s="115"/>
      <c r="T54" s="116"/>
      <c r="U54" s="105"/>
      <c r="V54" s="127">
        <v>525</v>
      </c>
      <c r="W54" s="30"/>
      <c r="X54" s="31"/>
      <c r="Y54" s="31"/>
      <c r="Z54" s="32"/>
      <c r="AA54" s="29"/>
      <c r="AB54" s="33"/>
      <c r="AC54" s="33"/>
      <c r="AD54" s="4"/>
      <c r="AH54" s="228"/>
      <c r="AI54" s="230"/>
      <c r="AJ54" s="229"/>
      <c r="AK54" s="230"/>
      <c r="AL54" s="324"/>
      <c r="AM54" s="328"/>
    </row>
    <row r="55" spans="1:39" ht="12.75">
      <c r="A55" s="233">
        <v>45</v>
      </c>
      <c r="B55" s="111" t="s">
        <v>201</v>
      </c>
      <c r="C55" s="613" t="s">
        <v>48</v>
      </c>
      <c r="D55" s="613" t="s">
        <v>47</v>
      </c>
      <c r="E55" s="155">
        <f t="shared" si="5"/>
        <v>400</v>
      </c>
      <c r="F55" s="245" t="str">
        <f t="shared" si="14"/>
        <v>CTR HH</v>
      </c>
      <c r="G55" s="214">
        <f t="shared" si="11"/>
      </c>
      <c r="H55" s="215">
        <f t="shared" si="12"/>
      </c>
      <c r="I55" s="224">
        <f t="shared" si="13"/>
        <v>400</v>
      </c>
      <c r="J55" s="422">
        <f t="shared" si="8"/>
      </c>
      <c r="K55" s="421">
        <f t="shared" si="9"/>
      </c>
      <c r="L55" s="113"/>
      <c r="M55" s="114"/>
      <c r="N55" s="115"/>
      <c r="O55" s="116"/>
      <c r="P55" s="105"/>
      <c r="Q55" s="113"/>
      <c r="R55" s="114"/>
      <c r="S55" s="115"/>
      <c r="T55" s="116"/>
      <c r="U55" s="105"/>
      <c r="V55" s="127">
        <v>400</v>
      </c>
      <c r="W55" s="30"/>
      <c r="X55" s="31"/>
      <c r="Y55" s="31"/>
      <c r="Z55" s="32"/>
      <c r="AA55" s="29"/>
      <c r="AB55" s="33"/>
      <c r="AC55" s="33"/>
      <c r="AD55" s="4"/>
      <c r="AH55" s="228"/>
      <c r="AI55" s="230"/>
      <c r="AJ55" s="229"/>
      <c r="AK55" s="230"/>
      <c r="AL55" s="324"/>
      <c r="AM55" s="328"/>
    </row>
    <row r="56" spans="1:39" ht="12.75">
      <c r="A56" s="233">
        <v>46</v>
      </c>
      <c r="B56" s="111" t="s">
        <v>77</v>
      </c>
      <c r="C56" s="613" t="s">
        <v>48</v>
      </c>
      <c r="D56" s="613" t="s">
        <v>47</v>
      </c>
      <c r="E56" s="155">
        <f t="shared" si="5"/>
        <v>790</v>
      </c>
      <c r="F56" s="245" t="str">
        <f t="shared" si="14"/>
        <v>CTR HH</v>
      </c>
      <c r="G56" s="214">
        <f t="shared" si="11"/>
      </c>
      <c r="H56" s="215">
        <f t="shared" si="12"/>
      </c>
      <c r="I56" s="224">
        <f t="shared" si="13"/>
        <v>790</v>
      </c>
      <c r="J56" s="422">
        <f t="shared" si="8"/>
      </c>
      <c r="K56" s="421">
        <f t="shared" si="9"/>
      </c>
      <c r="L56" s="113"/>
      <c r="M56" s="114"/>
      <c r="N56" s="115"/>
      <c r="O56" s="116"/>
      <c r="P56" s="105"/>
      <c r="Q56" s="113"/>
      <c r="R56" s="114"/>
      <c r="S56" s="115"/>
      <c r="T56" s="116"/>
      <c r="U56" s="105"/>
      <c r="V56" s="127">
        <v>790</v>
      </c>
      <c r="W56" s="30"/>
      <c r="X56" s="31"/>
      <c r="Y56" s="31"/>
      <c r="Z56" s="32"/>
      <c r="AA56" s="29"/>
      <c r="AB56" s="33"/>
      <c r="AC56" s="33"/>
      <c r="AD56" s="4"/>
      <c r="AH56" s="228"/>
      <c r="AI56" s="230"/>
      <c r="AJ56" s="229"/>
      <c r="AK56" s="230"/>
      <c r="AL56" s="324"/>
      <c r="AM56" s="328"/>
    </row>
    <row r="57" spans="1:39" ht="12.75">
      <c r="A57" s="233">
        <v>47</v>
      </c>
      <c r="B57" s="111" t="s">
        <v>78</v>
      </c>
      <c r="C57" s="613" t="s">
        <v>48</v>
      </c>
      <c r="D57" s="613" t="s">
        <v>47</v>
      </c>
      <c r="E57" s="155">
        <f t="shared" si="5"/>
        <v>2300</v>
      </c>
      <c r="F57" s="245" t="str">
        <f t="shared" si="14"/>
        <v>CTR HH</v>
      </c>
      <c r="G57" s="214">
        <f t="shared" si="11"/>
      </c>
      <c r="H57" s="215">
        <f t="shared" si="12"/>
      </c>
      <c r="I57" s="224">
        <f t="shared" si="13"/>
        <v>2300</v>
      </c>
      <c r="J57" s="422">
        <f t="shared" si="8"/>
      </c>
      <c r="K57" s="421">
        <f t="shared" si="9"/>
      </c>
      <c r="L57" s="113"/>
      <c r="M57" s="114"/>
      <c r="N57" s="115"/>
      <c r="O57" s="116"/>
      <c r="P57" s="105"/>
      <c r="Q57" s="113"/>
      <c r="R57" s="114"/>
      <c r="S57" s="115"/>
      <c r="T57" s="116"/>
      <c r="U57" s="105"/>
      <c r="V57" s="130">
        <v>2300</v>
      </c>
      <c r="W57" s="30"/>
      <c r="X57" s="31"/>
      <c r="Y57" s="31"/>
      <c r="Z57" s="32"/>
      <c r="AA57" s="29"/>
      <c r="AB57" s="33"/>
      <c r="AC57" s="33"/>
      <c r="AD57" s="4"/>
      <c r="AH57" s="228"/>
      <c r="AI57" s="230"/>
      <c r="AJ57" s="229"/>
      <c r="AK57" s="230"/>
      <c r="AL57" s="324"/>
      <c r="AM57" s="328"/>
    </row>
    <row r="58" spans="1:39" ht="12.75">
      <c r="A58" s="233">
        <v>48</v>
      </c>
      <c r="B58" s="111" t="s">
        <v>202</v>
      </c>
      <c r="C58" s="613" t="s">
        <v>48</v>
      </c>
      <c r="D58" s="613" t="s">
        <v>47</v>
      </c>
      <c r="E58" s="155">
        <f t="shared" si="5"/>
        <v>765</v>
      </c>
      <c r="F58" s="245" t="str">
        <f t="shared" si="14"/>
        <v>CTR HH</v>
      </c>
      <c r="G58" s="214">
        <f t="shared" si="11"/>
      </c>
      <c r="H58" s="215">
        <f t="shared" si="12"/>
      </c>
      <c r="I58" s="224">
        <f t="shared" si="13"/>
        <v>765</v>
      </c>
      <c r="J58" s="422">
        <f t="shared" si="8"/>
      </c>
      <c r="K58" s="421">
        <f t="shared" si="9"/>
      </c>
      <c r="L58" s="113"/>
      <c r="M58" s="114"/>
      <c r="N58" s="115"/>
      <c r="O58" s="116"/>
      <c r="P58" s="105"/>
      <c r="Q58" s="113"/>
      <c r="R58" s="114"/>
      <c r="S58" s="115"/>
      <c r="T58" s="116"/>
      <c r="U58" s="105"/>
      <c r="V58" s="127">
        <v>765</v>
      </c>
      <c r="W58" s="30"/>
      <c r="X58" s="31"/>
      <c r="Y58" s="31"/>
      <c r="Z58" s="32"/>
      <c r="AA58" s="29"/>
      <c r="AB58" s="33"/>
      <c r="AC58" s="33"/>
      <c r="AD58" s="4"/>
      <c r="AH58" s="228"/>
      <c r="AI58" s="230"/>
      <c r="AJ58" s="229"/>
      <c r="AK58" s="230"/>
      <c r="AL58" s="324"/>
      <c r="AM58" s="328"/>
    </row>
    <row r="59" spans="1:39" ht="12.75">
      <c r="A59" s="233">
        <v>49</v>
      </c>
      <c r="B59" s="111" t="s">
        <v>79</v>
      </c>
      <c r="C59" s="613" t="s">
        <v>48</v>
      </c>
      <c r="D59" s="613" t="s">
        <v>47</v>
      </c>
      <c r="E59" s="155">
        <f t="shared" si="5"/>
        <v>14000</v>
      </c>
      <c r="F59" s="245" t="str">
        <f t="shared" si="14"/>
        <v>CTR HH</v>
      </c>
      <c r="G59" s="214">
        <f t="shared" si="11"/>
      </c>
      <c r="H59" s="215">
        <f t="shared" si="12"/>
      </c>
      <c r="I59" s="224">
        <f t="shared" si="13"/>
        <v>14000</v>
      </c>
      <c r="J59" s="422">
        <f t="shared" si="8"/>
      </c>
      <c r="K59" s="421">
        <f t="shared" si="9"/>
      </c>
      <c r="L59" s="113"/>
      <c r="M59" s="114"/>
      <c r="N59" s="115"/>
      <c r="O59" s="116"/>
      <c r="P59" s="105"/>
      <c r="Q59" s="113"/>
      <c r="R59" s="114"/>
      <c r="S59" s="115"/>
      <c r="T59" s="116"/>
      <c r="U59" s="105"/>
      <c r="V59" s="130">
        <v>14000</v>
      </c>
      <c r="W59" s="30"/>
      <c r="X59" s="31"/>
      <c r="Y59" s="31"/>
      <c r="Z59" s="32"/>
      <c r="AA59" s="29"/>
      <c r="AB59" s="33"/>
      <c r="AC59" s="33"/>
      <c r="AD59" s="4"/>
      <c r="AH59" s="228"/>
      <c r="AI59" s="230"/>
      <c r="AJ59" s="229"/>
      <c r="AK59" s="230"/>
      <c r="AL59" s="324"/>
      <c r="AM59" s="328"/>
    </row>
    <row r="60" spans="1:39" ht="12.75">
      <c r="A60" s="233">
        <v>50</v>
      </c>
      <c r="B60" s="111" t="s">
        <v>80</v>
      </c>
      <c r="C60" s="613" t="s">
        <v>48</v>
      </c>
      <c r="D60" s="613" t="s">
        <v>47</v>
      </c>
      <c r="E60" s="154" t="str">
        <f t="shared" si="5"/>
        <v>No Criteria</v>
      </c>
      <c r="F60" s="245">
        <f>IF(MIN(J60:K60)=E60,"BP SSO",IF(MIN(L60:M60)=E60,"BP FW",IF(MIN(N60:O60)=E60,"BP SW",IF(P60=E60,"BP HH",IF(MIN(Q60:R60)=E60,"CTR FW",IF(MIN(S60:T60)=E60,"CTR SW",IF(MIN(U60:V60)=E60,"CTR HH","")))))))</f>
      </c>
      <c r="G60" s="214">
        <f t="shared" si="11"/>
      </c>
      <c r="H60" s="215">
        <f t="shared" si="12"/>
      </c>
      <c r="I60" s="224">
        <f t="shared" si="13"/>
      </c>
      <c r="J60" s="422">
        <f t="shared" si="8"/>
      </c>
      <c r="K60" s="421">
        <f t="shared" si="9"/>
      </c>
      <c r="L60" s="113"/>
      <c r="M60" s="114"/>
      <c r="N60" s="115"/>
      <c r="O60" s="116"/>
      <c r="P60" s="105"/>
      <c r="Q60" s="113"/>
      <c r="R60" s="114"/>
      <c r="S60" s="115"/>
      <c r="T60" s="116"/>
      <c r="U60" s="105"/>
      <c r="V60" s="127"/>
      <c r="W60" s="30"/>
      <c r="X60" s="31"/>
      <c r="Y60" s="31"/>
      <c r="Z60" s="32"/>
      <c r="AA60" s="29"/>
      <c r="AB60" s="33"/>
      <c r="AC60" s="33"/>
      <c r="AD60" s="4"/>
      <c r="AH60" s="228"/>
      <c r="AI60" s="230"/>
      <c r="AJ60" s="229"/>
      <c r="AK60" s="230"/>
      <c r="AL60" s="324"/>
      <c r="AM60" s="328"/>
    </row>
    <row r="61" spans="1:39" ht="12.75">
      <c r="A61" s="233">
        <v>51</v>
      </c>
      <c r="B61" s="111" t="s">
        <v>81</v>
      </c>
      <c r="C61" s="613" t="s">
        <v>48</v>
      </c>
      <c r="D61" s="613" t="s">
        <v>47</v>
      </c>
      <c r="E61" s="154" t="str">
        <f t="shared" si="5"/>
        <v>No Criteria</v>
      </c>
      <c r="F61" s="245">
        <f>IF(MIN(J61:K61)=E61,"BP SSO",IF(MIN(L61:M61)=E61,"BP FW",IF(MIN(N61:O61)=E61,"BP SW",IF(P61=E61,"BP HH",IF(MIN(Q61:R61)=E61,"CTR FW",IF(MIN(S61:T61)=E61,"CTR SW",IF(MIN(U61:V61)=E61,"CTR HH","")))))))</f>
      </c>
      <c r="G61" s="214">
        <f t="shared" si="11"/>
      </c>
      <c r="H61" s="215">
        <f t="shared" si="12"/>
      </c>
      <c r="I61" s="224">
        <f t="shared" si="13"/>
      </c>
      <c r="J61" s="422">
        <f t="shared" si="8"/>
      </c>
      <c r="K61" s="421">
        <f t="shared" si="9"/>
      </c>
      <c r="L61" s="113"/>
      <c r="M61" s="114"/>
      <c r="N61" s="115"/>
      <c r="O61" s="116"/>
      <c r="P61" s="105"/>
      <c r="Q61" s="113"/>
      <c r="R61" s="114"/>
      <c r="S61" s="115"/>
      <c r="T61" s="116"/>
      <c r="U61" s="105"/>
      <c r="V61" s="127"/>
      <c r="W61" s="30"/>
      <c r="X61" s="31"/>
      <c r="Y61" s="31"/>
      <c r="Z61" s="32"/>
      <c r="AA61" s="29"/>
      <c r="AB61" s="33"/>
      <c r="AC61" s="33"/>
      <c r="AD61" s="4"/>
      <c r="AH61" s="228"/>
      <c r="AI61" s="230"/>
      <c r="AJ61" s="229"/>
      <c r="AK61" s="230"/>
      <c r="AL61" s="324"/>
      <c r="AM61" s="328"/>
    </row>
    <row r="62" spans="1:39" ht="12.75">
      <c r="A62" s="233">
        <v>52</v>
      </c>
      <c r="B62" s="111" t="s">
        <v>203</v>
      </c>
      <c r="C62" s="613" t="s">
        <v>48</v>
      </c>
      <c r="D62" s="613" t="s">
        <v>47</v>
      </c>
      <c r="E62" s="154" t="str">
        <f t="shared" si="5"/>
        <v>No Criteria</v>
      </c>
      <c r="F62" s="245">
        <f>IF(MIN(J62:K62)=E62,"BP SSO",IF(MIN(L62:M62)=E62,"BP FW",IF(MIN(N62:O62)=E62,"BP SW",IF(P62=E62,"BP HH",IF(MIN(Q62:R62)=E62,"CTR FW",IF(MIN(S62:T62)=E62,"CTR SW",IF(MIN(U62:V62)=E62,"CTR HH","")))))))</f>
      </c>
      <c r="G62" s="214">
        <f t="shared" si="11"/>
      </c>
      <c r="H62" s="215">
        <f t="shared" si="12"/>
      </c>
      <c r="I62" s="224">
        <f t="shared" si="13"/>
      </c>
      <c r="J62" s="422">
        <f t="shared" si="8"/>
      </c>
      <c r="K62" s="421">
        <f t="shared" si="9"/>
      </c>
      <c r="L62" s="113"/>
      <c r="M62" s="114"/>
      <c r="N62" s="115"/>
      <c r="O62" s="116"/>
      <c r="P62" s="105"/>
      <c r="Q62" s="113"/>
      <c r="R62" s="114"/>
      <c r="S62" s="115"/>
      <c r="T62" s="116"/>
      <c r="U62" s="105"/>
      <c r="V62" s="127"/>
      <c r="W62" s="30"/>
      <c r="X62" s="31"/>
      <c r="Y62" s="31"/>
      <c r="Z62" s="32"/>
      <c r="AA62" s="29"/>
      <c r="AB62" s="33"/>
      <c r="AC62" s="33"/>
      <c r="AD62" s="4"/>
      <c r="AH62" s="228"/>
      <c r="AI62" s="230"/>
      <c r="AJ62" s="229"/>
      <c r="AK62" s="230"/>
      <c r="AL62" s="324"/>
      <c r="AM62" s="328"/>
    </row>
    <row r="63" spans="1:39" ht="12.75">
      <c r="A63" s="233">
        <v>53</v>
      </c>
      <c r="B63" s="111" t="s">
        <v>82</v>
      </c>
      <c r="C63" s="613" t="s">
        <v>48</v>
      </c>
      <c r="D63" s="613" t="s">
        <v>47</v>
      </c>
      <c r="E63" s="149">
        <f t="shared" si="5"/>
        <v>7.9</v>
      </c>
      <c r="F63" s="245" t="str">
        <f>IF(MIN(J63:K63)=E63,"BP SSO",IF(MIN(L63:M63)=E63,"BP FW",IF(MIN(N63:O63)=E63,"BP SW",IF(P63=E63,"BP HH",IF(MIN(Q63:R63)=E63,"CTR FW",IF(MIN(S63:T63)=E63,"CTR SW",IF(MIN(U63:V63)=E63,"CTR HH","")))))))</f>
        <v>CTR SW</v>
      </c>
      <c r="G63" s="214">
        <f t="shared" si="11"/>
        <v>13</v>
      </c>
      <c r="H63" s="215">
        <f t="shared" si="12"/>
        <v>7.9</v>
      </c>
      <c r="I63" s="224">
        <f t="shared" si="13"/>
        <v>8.2</v>
      </c>
      <c r="J63" s="422">
        <f t="shared" si="8"/>
      </c>
      <c r="K63" s="421">
        <f t="shared" si="9"/>
      </c>
      <c r="L63" s="113"/>
      <c r="M63" s="114"/>
      <c r="N63" s="115"/>
      <c r="O63" s="116"/>
      <c r="P63" s="105"/>
      <c r="Q63" s="242">
        <f>EXP(1.005*(zpH)-4.869)</f>
        <v>32.21718481192695</v>
      </c>
      <c r="R63" s="253">
        <f>EXP(1.005*(zpH)-5.134)</f>
        <v>24.71721587918211</v>
      </c>
      <c r="S63" s="115">
        <v>13</v>
      </c>
      <c r="T63" s="116">
        <v>7.9</v>
      </c>
      <c r="U63" s="106"/>
      <c r="V63" s="129">
        <v>8.2</v>
      </c>
      <c r="W63" s="30"/>
      <c r="X63" s="31"/>
      <c r="Y63" s="31"/>
      <c r="Z63" s="32"/>
      <c r="AA63" s="29"/>
      <c r="AB63" s="33"/>
      <c r="AC63" s="33"/>
      <c r="AD63" s="4"/>
      <c r="AH63" s="228"/>
      <c r="AI63" s="230"/>
      <c r="AJ63" s="229"/>
      <c r="AK63" s="230"/>
      <c r="AL63" s="324"/>
      <c r="AM63" s="328"/>
    </row>
    <row r="64" spans="1:39" ht="12.75">
      <c r="A64" s="233">
        <v>54</v>
      </c>
      <c r="B64" s="111" t="s">
        <v>83</v>
      </c>
      <c r="C64" s="613" t="s">
        <v>48</v>
      </c>
      <c r="D64" s="613" t="s">
        <v>47</v>
      </c>
      <c r="E64" s="152">
        <f t="shared" si="5"/>
        <v>4600000</v>
      </c>
      <c r="F64" s="245" t="str">
        <f aca="true" t="shared" si="15" ref="F64:F79">IF(MIN(J64:K64)=E64,"BP SSO",IF(MIN(L64:M64)=E64,"BP FW",IF(MIN(N64:O64)=E64,"BP SW",IF(P64=E64,"BP HH",IF(MIN(Q64:R64)=E64,"CTR FW",IF(MIN(S64:T64)=E64,"CTR SW",IF(MIN(U64:V64)=E64,"CTR HH","")))))))</f>
        <v>CTR HH</v>
      </c>
      <c r="G64" s="214">
        <f t="shared" si="11"/>
      </c>
      <c r="H64" s="215">
        <f t="shared" si="12"/>
      </c>
      <c r="I64" s="224">
        <f t="shared" si="13"/>
        <v>4600000</v>
      </c>
      <c r="J64" s="422">
        <f t="shared" si="8"/>
      </c>
      <c r="K64" s="421">
        <f t="shared" si="9"/>
      </c>
      <c r="L64" s="113"/>
      <c r="M64" s="114"/>
      <c r="N64" s="115"/>
      <c r="O64" s="116"/>
      <c r="P64" s="105"/>
      <c r="Q64" s="113"/>
      <c r="R64" s="114"/>
      <c r="S64" s="115"/>
      <c r="T64" s="116"/>
      <c r="U64" s="105"/>
      <c r="V64" s="130">
        <v>4600000</v>
      </c>
      <c r="W64" s="30"/>
      <c r="X64" s="31"/>
      <c r="Y64" s="31"/>
      <c r="Z64" s="32"/>
      <c r="AA64" s="29"/>
      <c r="AB64" s="33"/>
      <c r="AC64" s="33"/>
      <c r="AD64" s="4"/>
      <c r="AH64" s="228"/>
      <c r="AI64" s="230"/>
      <c r="AJ64" s="229"/>
      <c r="AK64" s="230"/>
      <c r="AL64" s="324"/>
      <c r="AM64" s="326"/>
    </row>
    <row r="65" spans="1:39" ht="12.75">
      <c r="A65" s="233">
        <v>55</v>
      </c>
      <c r="B65" s="111" t="s">
        <v>84</v>
      </c>
      <c r="C65" s="613" t="s">
        <v>48</v>
      </c>
      <c r="D65" s="613" t="s">
        <v>47</v>
      </c>
      <c r="E65" s="149">
        <f t="shared" si="5"/>
        <v>6.5</v>
      </c>
      <c r="F65" s="245" t="str">
        <f t="shared" si="15"/>
        <v>CTR HH</v>
      </c>
      <c r="G65" s="214">
        <f t="shared" si="11"/>
      </c>
      <c r="H65" s="215">
        <f t="shared" si="12"/>
      </c>
      <c r="I65" s="224">
        <f t="shared" si="13"/>
        <v>6.5</v>
      </c>
      <c r="J65" s="422">
        <f t="shared" si="8"/>
      </c>
      <c r="K65" s="421">
        <f t="shared" si="9"/>
      </c>
      <c r="L65" s="113"/>
      <c r="M65" s="114"/>
      <c r="N65" s="115"/>
      <c r="O65" s="116"/>
      <c r="P65" s="105"/>
      <c r="Q65" s="113"/>
      <c r="R65" s="114"/>
      <c r="S65" s="115"/>
      <c r="T65" s="116"/>
      <c r="U65" s="105"/>
      <c r="V65" s="129">
        <v>6.5</v>
      </c>
      <c r="W65" s="30"/>
      <c r="X65" s="31"/>
      <c r="Y65" s="31"/>
      <c r="Z65" s="32"/>
      <c r="AA65" s="29"/>
      <c r="AB65" s="33"/>
      <c r="AC65" s="33"/>
      <c r="AD65" s="4"/>
      <c r="AH65" s="228"/>
      <c r="AI65" s="230"/>
      <c r="AJ65" s="229"/>
      <c r="AK65" s="230"/>
      <c r="AL65" s="324"/>
      <c r="AM65" s="328"/>
    </row>
    <row r="66" spans="1:39" ht="12.75">
      <c r="A66" s="233">
        <v>56</v>
      </c>
      <c r="B66" s="111" t="s">
        <v>85</v>
      </c>
      <c r="C66" s="613" t="s">
        <v>48</v>
      </c>
      <c r="D66" s="613" t="s">
        <v>47</v>
      </c>
      <c r="E66" s="155">
        <f t="shared" si="5"/>
        <v>2700</v>
      </c>
      <c r="F66" s="245" t="str">
        <f t="shared" si="15"/>
        <v>CTR HH</v>
      </c>
      <c r="G66" s="214">
        <f t="shared" si="11"/>
      </c>
      <c r="H66" s="215">
        <f t="shared" si="12"/>
      </c>
      <c r="I66" s="224">
        <f t="shared" si="13"/>
        <v>2700</v>
      </c>
      <c r="J66" s="422">
        <f t="shared" si="8"/>
      </c>
      <c r="K66" s="421">
        <f t="shared" si="9"/>
      </c>
      <c r="L66" s="113"/>
      <c r="M66" s="114"/>
      <c r="N66" s="115"/>
      <c r="O66" s="116"/>
      <c r="P66" s="105"/>
      <c r="Q66" s="113"/>
      <c r="R66" s="114"/>
      <c r="S66" s="115"/>
      <c r="T66" s="116"/>
      <c r="U66" s="105"/>
      <c r="V66" s="130">
        <v>2700</v>
      </c>
      <c r="W66" s="30"/>
      <c r="X66" s="31"/>
      <c r="Y66" s="31"/>
      <c r="Z66" s="32"/>
      <c r="AA66" s="29"/>
      <c r="AB66" s="33"/>
      <c r="AC66" s="33"/>
      <c r="AD66" s="4"/>
      <c r="AH66" s="228"/>
      <c r="AI66" s="230"/>
      <c r="AJ66" s="229"/>
      <c r="AK66" s="230"/>
      <c r="AL66" s="324"/>
      <c r="AM66" s="328"/>
    </row>
    <row r="67" spans="1:39" ht="12.75">
      <c r="A67" s="233">
        <v>57</v>
      </c>
      <c r="B67" s="111" t="s">
        <v>204</v>
      </c>
      <c r="C67" s="613" t="s">
        <v>48</v>
      </c>
      <c r="D67" s="613" t="s">
        <v>47</v>
      </c>
      <c r="E67" s="154" t="str">
        <f t="shared" si="5"/>
        <v>No Criteria</v>
      </c>
      <c r="F67" s="245">
        <f t="shared" si="15"/>
      </c>
      <c r="G67" s="214">
        <f t="shared" si="11"/>
      </c>
      <c r="H67" s="215">
        <f t="shared" si="12"/>
      </c>
      <c r="I67" s="224">
        <f t="shared" si="13"/>
      </c>
      <c r="J67" s="422">
        <f t="shared" si="8"/>
      </c>
      <c r="K67" s="421">
        <f t="shared" si="9"/>
      </c>
      <c r="L67" s="113"/>
      <c r="M67" s="114"/>
      <c r="N67" s="115"/>
      <c r="O67" s="116"/>
      <c r="P67" s="105"/>
      <c r="Q67" s="113"/>
      <c r="R67" s="114"/>
      <c r="S67" s="115"/>
      <c r="T67" s="116"/>
      <c r="U67" s="105"/>
      <c r="V67" s="127"/>
      <c r="W67" s="30"/>
      <c r="X67" s="31"/>
      <c r="Y67" s="31"/>
      <c r="Z67" s="32"/>
      <c r="AA67" s="29"/>
      <c r="AB67" s="33"/>
      <c r="AC67" s="33"/>
      <c r="AD67" s="4"/>
      <c r="AH67" s="228"/>
      <c r="AI67" s="230"/>
      <c r="AJ67" s="229"/>
      <c r="AK67" s="230"/>
      <c r="AL67" s="324"/>
      <c r="AM67" s="328"/>
    </row>
    <row r="68" spans="1:39" ht="12.75">
      <c r="A68" s="233">
        <v>58</v>
      </c>
      <c r="B68" s="111" t="s">
        <v>86</v>
      </c>
      <c r="C68" s="613" t="s">
        <v>48</v>
      </c>
      <c r="D68" s="613" t="s">
        <v>47</v>
      </c>
      <c r="E68" s="155">
        <f t="shared" si="5"/>
        <v>110000</v>
      </c>
      <c r="F68" s="245" t="str">
        <f t="shared" si="15"/>
        <v>CTR HH</v>
      </c>
      <c r="G68" s="214">
        <f t="shared" si="11"/>
      </c>
      <c r="H68" s="215">
        <f t="shared" si="12"/>
      </c>
      <c r="I68" s="224">
        <f t="shared" si="13"/>
        <v>110000</v>
      </c>
      <c r="J68" s="422">
        <f t="shared" si="8"/>
      </c>
      <c r="K68" s="421">
        <f t="shared" si="9"/>
      </c>
      <c r="L68" s="113"/>
      <c r="M68" s="114"/>
      <c r="N68" s="115"/>
      <c r="O68" s="116"/>
      <c r="P68" s="105"/>
      <c r="Q68" s="113"/>
      <c r="R68" s="114"/>
      <c r="S68" s="115"/>
      <c r="T68" s="116"/>
      <c r="U68" s="105"/>
      <c r="V68" s="130">
        <v>110000</v>
      </c>
      <c r="W68" s="30"/>
      <c r="X68" s="31"/>
      <c r="Y68" s="31"/>
      <c r="Z68" s="32"/>
      <c r="AA68" s="29"/>
      <c r="AB68" s="33"/>
      <c r="AC68" s="33"/>
      <c r="AD68" s="4"/>
      <c r="AH68" s="228"/>
      <c r="AI68" s="230"/>
      <c r="AJ68" s="229"/>
      <c r="AK68" s="230"/>
      <c r="AL68" s="324"/>
      <c r="AM68" s="328"/>
    </row>
    <row r="69" spans="1:39" ht="12.75">
      <c r="A69" s="233">
        <v>59</v>
      </c>
      <c r="B69" s="111" t="s">
        <v>87</v>
      </c>
      <c r="C69" s="613" t="s">
        <v>48</v>
      </c>
      <c r="D69" s="613" t="s">
        <v>47</v>
      </c>
      <c r="E69" s="156">
        <f t="shared" si="5"/>
        <v>0.00054</v>
      </c>
      <c r="F69" s="245" t="str">
        <f t="shared" si="15"/>
        <v>CTR HH</v>
      </c>
      <c r="G69" s="214">
        <f t="shared" si="11"/>
      </c>
      <c r="H69" s="215">
        <f t="shared" si="12"/>
      </c>
      <c r="I69" s="224">
        <f t="shared" si="13"/>
        <v>0.00054</v>
      </c>
      <c r="J69" s="422">
        <f t="shared" si="8"/>
      </c>
      <c r="K69" s="421">
        <f t="shared" si="9"/>
      </c>
      <c r="L69" s="113"/>
      <c r="M69" s="114"/>
      <c r="N69" s="115"/>
      <c r="O69" s="116"/>
      <c r="P69" s="105"/>
      <c r="Q69" s="113"/>
      <c r="R69" s="114"/>
      <c r="S69" s="115"/>
      <c r="T69" s="116"/>
      <c r="U69" s="105"/>
      <c r="V69" s="132">
        <v>0.00054</v>
      </c>
      <c r="W69" s="30"/>
      <c r="X69" s="31"/>
      <c r="Y69" s="31"/>
      <c r="Z69" s="32"/>
      <c r="AA69" s="29"/>
      <c r="AB69" s="33"/>
      <c r="AC69" s="33"/>
      <c r="AD69" s="4"/>
      <c r="AH69" s="228"/>
      <c r="AI69" s="230"/>
      <c r="AJ69" s="229"/>
      <c r="AK69" s="230"/>
      <c r="AL69" s="324"/>
      <c r="AM69" s="328"/>
    </row>
    <row r="70" spans="1:39" s="6" customFormat="1" ht="12.75">
      <c r="A70" s="233">
        <v>60</v>
      </c>
      <c r="B70" s="111" t="s">
        <v>88</v>
      </c>
      <c r="C70" s="613" t="s">
        <v>48</v>
      </c>
      <c r="D70" s="613" t="s">
        <v>47</v>
      </c>
      <c r="E70" s="157">
        <f t="shared" si="5"/>
        <v>0.049</v>
      </c>
      <c r="F70" s="245" t="str">
        <f t="shared" si="15"/>
        <v>CTR HH</v>
      </c>
      <c r="G70" s="214">
        <f t="shared" si="11"/>
      </c>
      <c r="H70" s="215">
        <f t="shared" si="12"/>
      </c>
      <c r="I70" s="224">
        <f t="shared" si="13"/>
        <v>0.049</v>
      </c>
      <c r="J70" s="422">
        <f t="shared" si="8"/>
      </c>
      <c r="K70" s="421">
        <f t="shared" si="9"/>
      </c>
      <c r="L70" s="113"/>
      <c r="M70" s="114"/>
      <c r="N70" s="115"/>
      <c r="O70" s="116"/>
      <c r="P70" s="118"/>
      <c r="Q70" s="113"/>
      <c r="R70" s="114"/>
      <c r="S70" s="115"/>
      <c r="T70" s="116"/>
      <c r="U70" s="105"/>
      <c r="V70" s="133">
        <v>0.049</v>
      </c>
      <c r="W70" s="44"/>
      <c r="X70" s="45"/>
      <c r="Y70" s="45"/>
      <c r="Z70" s="46"/>
      <c r="AA70" s="43"/>
      <c r="AB70" s="7"/>
      <c r="AC70" s="7"/>
      <c r="AD70" s="8"/>
      <c r="AH70" s="228"/>
      <c r="AI70" s="230"/>
      <c r="AJ70" s="229"/>
      <c r="AK70" s="230"/>
      <c r="AL70" s="324"/>
      <c r="AM70" s="329"/>
    </row>
    <row r="71" spans="1:39" s="6" customFormat="1" ht="12.75">
      <c r="A71" s="233">
        <v>61</v>
      </c>
      <c r="B71" s="111" t="s">
        <v>89</v>
      </c>
      <c r="C71" s="613" t="s">
        <v>48</v>
      </c>
      <c r="D71" s="613" t="s">
        <v>47</v>
      </c>
      <c r="E71" s="157">
        <f t="shared" si="5"/>
        <v>0.049</v>
      </c>
      <c r="F71" s="245" t="str">
        <f t="shared" si="15"/>
        <v>CTR HH</v>
      </c>
      <c r="G71" s="214">
        <f t="shared" si="11"/>
      </c>
      <c r="H71" s="215">
        <f t="shared" si="12"/>
      </c>
      <c r="I71" s="224">
        <f t="shared" si="13"/>
        <v>0.049</v>
      </c>
      <c r="J71" s="422">
        <f t="shared" si="8"/>
      </c>
      <c r="K71" s="421">
        <f t="shared" si="9"/>
      </c>
      <c r="L71" s="113"/>
      <c r="M71" s="114"/>
      <c r="N71" s="115"/>
      <c r="O71" s="116"/>
      <c r="P71" s="118"/>
      <c r="Q71" s="113"/>
      <c r="R71" s="114"/>
      <c r="S71" s="115"/>
      <c r="T71" s="116"/>
      <c r="U71" s="105"/>
      <c r="V71" s="133">
        <v>0.049</v>
      </c>
      <c r="W71" s="44"/>
      <c r="X71" s="45"/>
      <c r="Y71" s="45"/>
      <c r="Z71" s="46"/>
      <c r="AA71" s="43"/>
      <c r="AB71" s="7"/>
      <c r="AC71" s="7"/>
      <c r="AD71" s="8"/>
      <c r="AH71" s="228"/>
      <c r="AI71" s="230"/>
      <c r="AJ71" s="229"/>
      <c r="AK71" s="230"/>
      <c r="AL71" s="324"/>
      <c r="AM71" s="329"/>
    </row>
    <row r="72" spans="1:39" s="6" customFormat="1" ht="12.75">
      <c r="A72" s="233">
        <v>62</v>
      </c>
      <c r="B72" s="111" t="s">
        <v>90</v>
      </c>
      <c r="C72" s="613" t="s">
        <v>48</v>
      </c>
      <c r="D72" s="613" t="s">
        <v>47</v>
      </c>
      <c r="E72" s="157">
        <f t="shared" si="5"/>
        <v>0.049</v>
      </c>
      <c r="F72" s="245" t="str">
        <f t="shared" si="15"/>
        <v>CTR HH</v>
      </c>
      <c r="G72" s="214">
        <f t="shared" si="11"/>
      </c>
      <c r="H72" s="215">
        <f t="shared" si="12"/>
      </c>
      <c r="I72" s="224">
        <f t="shared" si="13"/>
        <v>0.049</v>
      </c>
      <c r="J72" s="422">
        <f t="shared" si="8"/>
      </c>
      <c r="K72" s="421">
        <f t="shared" si="9"/>
      </c>
      <c r="L72" s="113"/>
      <c r="M72" s="114"/>
      <c r="N72" s="115"/>
      <c r="O72" s="116"/>
      <c r="P72" s="118"/>
      <c r="Q72" s="113"/>
      <c r="R72" s="114"/>
      <c r="S72" s="115"/>
      <c r="T72" s="116"/>
      <c r="U72" s="105"/>
      <c r="V72" s="133">
        <v>0.049</v>
      </c>
      <c r="W72" s="44"/>
      <c r="X72" s="45"/>
      <c r="Y72" s="45"/>
      <c r="Z72" s="46"/>
      <c r="AA72" s="43"/>
      <c r="AB72" s="7"/>
      <c r="AC72" s="7"/>
      <c r="AD72" s="8"/>
      <c r="AH72" s="228"/>
      <c r="AI72" s="230"/>
      <c r="AJ72" s="229"/>
      <c r="AK72" s="230"/>
      <c r="AL72" s="324"/>
      <c r="AM72" s="329"/>
    </row>
    <row r="73" spans="1:39" ht="12.75">
      <c r="A73" s="233">
        <v>63</v>
      </c>
      <c r="B73" s="111" t="s">
        <v>91</v>
      </c>
      <c r="C73" s="613" t="s">
        <v>48</v>
      </c>
      <c r="D73" s="613" t="s">
        <v>47</v>
      </c>
      <c r="E73" s="154" t="str">
        <f t="shared" si="5"/>
        <v>No Criteria</v>
      </c>
      <c r="F73" s="245">
        <f t="shared" si="15"/>
      </c>
      <c r="G73" s="214">
        <f t="shared" si="11"/>
      </c>
      <c r="H73" s="215">
        <f t="shared" si="12"/>
      </c>
      <c r="I73" s="224">
        <f t="shared" si="13"/>
      </c>
      <c r="J73" s="422">
        <f t="shared" si="8"/>
      </c>
      <c r="K73" s="421">
        <f t="shared" si="9"/>
      </c>
      <c r="L73" s="113"/>
      <c r="M73" s="114"/>
      <c r="N73" s="115"/>
      <c r="O73" s="116"/>
      <c r="P73" s="105"/>
      <c r="Q73" s="113"/>
      <c r="R73" s="114"/>
      <c r="S73" s="115"/>
      <c r="T73" s="116"/>
      <c r="U73" s="105"/>
      <c r="V73" s="131"/>
      <c r="W73" s="30"/>
      <c r="X73" s="31"/>
      <c r="Y73" s="31"/>
      <c r="Z73" s="32"/>
      <c r="AA73" s="29"/>
      <c r="AB73" s="33"/>
      <c r="AC73" s="33"/>
      <c r="AD73" s="4"/>
      <c r="AH73" s="228"/>
      <c r="AI73" s="230"/>
      <c r="AJ73" s="229"/>
      <c r="AK73" s="230"/>
      <c r="AL73" s="324"/>
      <c r="AM73" s="328"/>
    </row>
    <row r="74" spans="1:39" s="6" customFormat="1" ht="12.75">
      <c r="A74" s="233">
        <v>64</v>
      </c>
      <c r="B74" s="111" t="s">
        <v>92</v>
      </c>
      <c r="C74" s="613" t="s">
        <v>48</v>
      </c>
      <c r="D74" s="613" t="s">
        <v>47</v>
      </c>
      <c r="E74" s="157">
        <f t="shared" si="5"/>
        <v>0.049</v>
      </c>
      <c r="F74" s="245" t="str">
        <f t="shared" si="15"/>
        <v>CTR HH</v>
      </c>
      <c r="G74" s="214">
        <f aca="true" t="shared" si="16" ref="G74:G105">IF(J74&lt;&gt;"",J74,IF(zSSORegion&lt;&gt;"South Dumbarton Bridge",IF(zSalinity="Freshwater",IF(MIN(L74,Q74)&gt;0,MIN(L74,Q74),""),IF(zSalinity="Saltwater",IF(MIN(N74,S74)&gt;0,MIN(N74,S74),""),IF(MIN(L74,N74,Q74,S74)&gt;0,MIN(L74,N74,Q74,S74),""))),IF(zSalinity="Freshwater",IF(Q74&gt;0,Q74,""),IF(zSalinity="Saltwater",IF(S74&gt;0,S74,""),IF(MIN(Q74,S74)&gt;0,MIN(Q74,S74),"")))))</f>
      </c>
      <c r="H74" s="215">
        <f aca="true" t="shared" si="17" ref="H74:H105">IF(K74&lt;&gt;"",K74,IF(zSSORegion&lt;&gt;"South Dumbarton Bridge",IF(zSalinity="Freshwater",IF(MIN(M74,R74)&gt;0,MIN(M74,R74),""),IF(zSalinity="Saltwater",IF(MIN(O74,T74)&gt;0,MIN(O74,T74),""),IF(MIN(M74,O74,R74,T74)&gt;0,MIN(M74,O74,R74,T74),""))),IF(zSalinity="Freshwater",IF(R74&gt;0,R74,""),IF(zSalinity="Saltwater",IF(T74&gt;0,T74,""),IF(MIN(R74,T74)&gt;0,MIN(R74,T74),"")))))</f>
      </c>
      <c r="I74" s="224">
        <f aca="true" t="shared" si="18" ref="I74:I105">IF(zSSORegion&lt;&gt;"South Dumbarton Bridge",IF(MIN(P74,U74,V74)&gt;0,MIN(P74,U74,V74),""),IF(MIN(U74,V74)&gt;0,MIN(U74,V74),""))</f>
        <v>0.049</v>
      </c>
      <c r="J74" s="422">
        <f t="shared" si="8"/>
      </c>
      <c r="K74" s="421">
        <f t="shared" si="9"/>
      </c>
      <c r="L74" s="113"/>
      <c r="M74" s="114"/>
      <c r="N74" s="115"/>
      <c r="O74" s="116"/>
      <c r="P74" s="118"/>
      <c r="Q74" s="113"/>
      <c r="R74" s="114"/>
      <c r="S74" s="115"/>
      <c r="T74" s="116"/>
      <c r="U74" s="105"/>
      <c r="V74" s="133">
        <v>0.049</v>
      </c>
      <c r="W74" s="44"/>
      <c r="X74" s="45"/>
      <c r="Y74" s="45"/>
      <c r="Z74" s="46"/>
      <c r="AA74" s="43"/>
      <c r="AB74" s="7"/>
      <c r="AC74" s="7"/>
      <c r="AD74" s="8"/>
      <c r="AH74" s="228"/>
      <c r="AI74" s="230"/>
      <c r="AJ74" s="229"/>
      <c r="AK74" s="230"/>
      <c r="AL74" s="324"/>
      <c r="AM74" s="329"/>
    </row>
    <row r="75" spans="1:39" ht="12.75">
      <c r="A75" s="233">
        <v>65</v>
      </c>
      <c r="B75" s="111" t="s">
        <v>93</v>
      </c>
      <c r="C75" s="613" t="s">
        <v>48</v>
      </c>
      <c r="D75" s="613" t="s">
        <v>47</v>
      </c>
      <c r="E75" s="154" t="str">
        <f aca="true" t="shared" si="19" ref="E75:E133">IF(MIN(G75:I75)&gt;0,MIN(G75:I75),"No Criteria")</f>
        <v>No Criteria</v>
      </c>
      <c r="F75" s="245">
        <f t="shared" si="15"/>
      </c>
      <c r="G75" s="214">
        <f t="shared" si="16"/>
      </c>
      <c r="H75" s="215">
        <f t="shared" si="17"/>
      </c>
      <c r="I75" s="224">
        <f t="shared" si="18"/>
      </c>
      <c r="J75" s="422">
        <f t="shared" si="8"/>
      </c>
      <c r="K75" s="421">
        <f t="shared" si="9"/>
      </c>
      <c r="L75" s="113"/>
      <c r="M75" s="114"/>
      <c r="N75" s="115"/>
      <c r="O75" s="116"/>
      <c r="P75" s="105"/>
      <c r="Q75" s="113"/>
      <c r="R75" s="114"/>
      <c r="S75" s="115"/>
      <c r="T75" s="116"/>
      <c r="U75" s="105"/>
      <c r="V75" s="131"/>
      <c r="W75" s="30"/>
      <c r="X75" s="31"/>
      <c r="Y75" s="31"/>
      <c r="Z75" s="32"/>
      <c r="AA75" s="29"/>
      <c r="AB75" s="33"/>
      <c r="AC75" s="33"/>
      <c r="AD75" s="4"/>
      <c r="AH75" s="228"/>
      <c r="AI75" s="230"/>
      <c r="AJ75" s="229"/>
      <c r="AK75" s="230"/>
      <c r="AL75" s="324"/>
      <c r="AM75" s="328"/>
    </row>
    <row r="76" spans="1:39" ht="12.75">
      <c r="A76" s="233">
        <v>66</v>
      </c>
      <c r="B76" s="111" t="s">
        <v>94</v>
      </c>
      <c r="C76" s="613" t="s">
        <v>48</v>
      </c>
      <c r="D76" s="613" t="s">
        <v>47</v>
      </c>
      <c r="E76" s="149">
        <f t="shared" si="19"/>
        <v>1.4</v>
      </c>
      <c r="F76" s="245" t="str">
        <f t="shared" si="15"/>
        <v>CTR HH</v>
      </c>
      <c r="G76" s="214">
        <f t="shared" si="16"/>
      </c>
      <c r="H76" s="215">
        <f t="shared" si="17"/>
      </c>
      <c r="I76" s="224">
        <f t="shared" si="18"/>
        <v>1.4</v>
      </c>
      <c r="J76" s="422">
        <f t="shared" si="8"/>
      </c>
      <c r="K76" s="421">
        <f t="shared" si="9"/>
      </c>
      <c r="L76" s="113"/>
      <c r="M76" s="114"/>
      <c r="N76" s="115"/>
      <c r="O76" s="116"/>
      <c r="P76" s="105"/>
      <c r="Q76" s="113"/>
      <c r="R76" s="114"/>
      <c r="S76" s="115"/>
      <c r="T76" s="116"/>
      <c r="U76" s="105"/>
      <c r="V76" s="129">
        <v>1.4</v>
      </c>
      <c r="W76" s="30"/>
      <c r="X76" s="31"/>
      <c r="Y76" s="31"/>
      <c r="Z76" s="32"/>
      <c r="AA76" s="29"/>
      <c r="AB76" s="33"/>
      <c r="AC76" s="33"/>
      <c r="AD76" s="4"/>
      <c r="AH76" s="228"/>
      <c r="AI76" s="230"/>
      <c r="AJ76" s="229"/>
      <c r="AK76" s="230"/>
      <c r="AL76" s="324"/>
      <c r="AM76" s="328"/>
    </row>
    <row r="77" spans="1:39" ht="12.75">
      <c r="A77" s="233">
        <v>67</v>
      </c>
      <c r="B77" s="111" t="s">
        <v>95</v>
      </c>
      <c r="C77" s="613" t="s">
        <v>48</v>
      </c>
      <c r="D77" s="613" t="s">
        <v>47</v>
      </c>
      <c r="E77" s="155">
        <f t="shared" si="19"/>
        <v>170000</v>
      </c>
      <c r="F77" s="245" t="str">
        <f t="shared" si="15"/>
        <v>CTR HH</v>
      </c>
      <c r="G77" s="214">
        <f t="shared" si="16"/>
      </c>
      <c r="H77" s="215">
        <f t="shared" si="17"/>
      </c>
      <c r="I77" s="224">
        <f t="shared" si="18"/>
        <v>170000</v>
      </c>
      <c r="J77" s="422">
        <f t="shared" si="8"/>
      </c>
      <c r="K77" s="421">
        <f t="shared" si="9"/>
      </c>
      <c r="L77" s="113"/>
      <c r="M77" s="114"/>
      <c r="N77" s="115"/>
      <c r="O77" s="116"/>
      <c r="P77" s="105"/>
      <c r="Q77" s="113"/>
      <c r="R77" s="114"/>
      <c r="S77" s="115"/>
      <c r="T77" s="116"/>
      <c r="U77" s="105"/>
      <c r="V77" s="130">
        <v>170000</v>
      </c>
      <c r="W77" s="30"/>
      <c r="X77" s="31"/>
      <c r="Y77" s="31"/>
      <c r="Z77" s="32"/>
      <c r="AA77" s="29"/>
      <c r="AB77" s="33"/>
      <c r="AC77" s="33"/>
      <c r="AD77" s="4"/>
      <c r="AH77" s="228"/>
      <c r="AI77" s="230"/>
      <c r="AJ77" s="229"/>
      <c r="AK77" s="230"/>
      <c r="AL77" s="324"/>
      <c r="AM77" s="328"/>
    </row>
    <row r="78" spans="1:39" ht="12.75">
      <c r="A78" s="233">
        <v>68</v>
      </c>
      <c r="B78" s="111" t="s">
        <v>96</v>
      </c>
      <c r="C78" s="613" t="s">
        <v>48</v>
      </c>
      <c r="D78" s="613" t="s">
        <v>47</v>
      </c>
      <c r="E78" s="149">
        <f t="shared" si="19"/>
        <v>5.9</v>
      </c>
      <c r="F78" s="245" t="str">
        <f t="shared" si="15"/>
        <v>CTR HH</v>
      </c>
      <c r="G78" s="214">
        <f t="shared" si="16"/>
      </c>
      <c r="H78" s="215">
        <f t="shared" si="17"/>
      </c>
      <c r="I78" s="224">
        <f t="shared" si="18"/>
        <v>5.9</v>
      </c>
      <c r="J78" s="422">
        <f t="shared" si="8"/>
      </c>
      <c r="K78" s="421">
        <f t="shared" si="9"/>
      </c>
      <c r="L78" s="113"/>
      <c r="M78" s="114"/>
      <c r="N78" s="115"/>
      <c r="O78" s="116"/>
      <c r="P78" s="105"/>
      <c r="Q78" s="113"/>
      <c r="R78" s="114"/>
      <c r="S78" s="115"/>
      <c r="T78" s="116"/>
      <c r="U78" s="105"/>
      <c r="V78" s="129">
        <v>5.9</v>
      </c>
      <c r="W78" s="30"/>
      <c r="X78" s="31"/>
      <c r="Y78" s="31"/>
      <c r="Z78" s="32"/>
      <c r="AA78" s="29"/>
      <c r="AB78" s="33"/>
      <c r="AC78" s="33"/>
      <c r="AD78" s="4"/>
      <c r="AH78" s="228"/>
      <c r="AI78" s="230"/>
      <c r="AJ78" s="229"/>
      <c r="AK78" s="230"/>
      <c r="AL78" s="324"/>
      <c r="AM78" s="328"/>
    </row>
    <row r="79" spans="1:39" ht="12.75">
      <c r="A79" s="233">
        <v>69</v>
      </c>
      <c r="B79" s="111" t="s">
        <v>97</v>
      </c>
      <c r="C79" s="613" t="s">
        <v>48</v>
      </c>
      <c r="D79" s="613" t="s">
        <v>47</v>
      </c>
      <c r="E79" s="154" t="str">
        <f t="shared" si="19"/>
        <v>No Criteria</v>
      </c>
      <c r="F79" s="245">
        <f t="shared" si="15"/>
      </c>
      <c r="G79" s="214">
        <f t="shared" si="16"/>
      </c>
      <c r="H79" s="215">
        <f t="shared" si="17"/>
      </c>
      <c r="I79" s="224">
        <f t="shared" si="18"/>
      </c>
      <c r="J79" s="422">
        <f t="shared" si="8"/>
      </c>
      <c r="K79" s="421">
        <f t="shared" si="9"/>
      </c>
      <c r="L79" s="113"/>
      <c r="M79" s="114"/>
      <c r="N79" s="115"/>
      <c r="O79" s="116"/>
      <c r="P79" s="105"/>
      <c r="Q79" s="113"/>
      <c r="R79" s="114"/>
      <c r="S79" s="115"/>
      <c r="T79" s="116"/>
      <c r="U79" s="105"/>
      <c r="V79" s="131"/>
      <c r="W79" s="30"/>
      <c r="X79" s="31"/>
      <c r="Y79" s="31"/>
      <c r="Z79" s="32"/>
      <c r="AA79" s="29"/>
      <c r="AB79" s="33"/>
      <c r="AC79" s="33"/>
      <c r="AD79" s="4"/>
      <c r="AH79" s="228"/>
      <c r="AI79" s="230"/>
      <c r="AJ79" s="229"/>
      <c r="AK79" s="230"/>
      <c r="AL79" s="324"/>
      <c r="AM79" s="328"/>
    </row>
    <row r="80" spans="1:39" ht="12.75">
      <c r="A80" s="233">
        <v>70</v>
      </c>
      <c r="B80" s="111" t="s">
        <v>98</v>
      </c>
      <c r="C80" s="613" t="s">
        <v>48</v>
      </c>
      <c r="D80" s="613" t="s">
        <v>47</v>
      </c>
      <c r="E80" s="155">
        <f t="shared" si="19"/>
        <v>5200</v>
      </c>
      <c r="F80" s="245" t="str">
        <f aca="true" t="shared" si="20" ref="F80:F94">IF(MIN(J80:K80)=E80,"BP SSO",IF(MIN(L80:M80)=E80,"BP FW",IF(MIN(N80:O80)=E80,"BP SW",IF(P80=E80,"BP HH",IF(MIN(Q80:R80)=E80,"CTR FW",IF(MIN(S80:T80)=E80,"CTR SW",IF(MIN(U80:V80)=E80,"CTR HH","")))))))</f>
        <v>CTR HH</v>
      </c>
      <c r="G80" s="214">
        <f t="shared" si="16"/>
      </c>
      <c r="H80" s="215">
        <f t="shared" si="17"/>
      </c>
      <c r="I80" s="224">
        <f t="shared" si="18"/>
        <v>5200</v>
      </c>
      <c r="J80" s="422">
        <f t="shared" si="8"/>
      </c>
      <c r="K80" s="421">
        <f t="shared" si="9"/>
      </c>
      <c r="L80" s="113"/>
      <c r="M80" s="114"/>
      <c r="N80" s="115"/>
      <c r="O80" s="116"/>
      <c r="P80" s="105"/>
      <c r="Q80" s="113"/>
      <c r="R80" s="114"/>
      <c r="S80" s="115"/>
      <c r="T80" s="116"/>
      <c r="U80" s="105"/>
      <c r="V80" s="130">
        <v>5200</v>
      </c>
      <c r="W80" s="30"/>
      <c r="X80" s="31"/>
      <c r="Y80" s="31"/>
      <c r="Z80" s="32"/>
      <c r="AA80" s="29"/>
      <c r="AB80" s="33"/>
      <c r="AC80" s="33"/>
      <c r="AD80" s="4"/>
      <c r="AH80" s="228"/>
      <c r="AI80" s="230"/>
      <c r="AJ80" s="229"/>
      <c r="AK80" s="230"/>
      <c r="AL80" s="324"/>
      <c r="AM80" s="328"/>
    </row>
    <row r="81" spans="1:39" ht="12.75">
      <c r="A81" s="233">
        <v>71</v>
      </c>
      <c r="B81" s="111" t="s">
        <v>99</v>
      </c>
      <c r="C81" s="613" t="s">
        <v>48</v>
      </c>
      <c r="D81" s="613" t="s">
        <v>47</v>
      </c>
      <c r="E81" s="155">
        <f t="shared" si="19"/>
        <v>4300</v>
      </c>
      <c r="F81" s="245" t="str">
        <f t="shared" si="20"/>
        <v>CTR HH</v>
      </c>
      <c r="G81" s="214">
        <f t="shared" si="16"/>
      </c>
      <c r="H81" s="215">
        <f t="shared" si="17"/>
      </c>
      <c r="I81" s="224">
        <f t="shared" si="18"/>
        <v>4300</v>
      </c>
      <c r="J81" s="422">
        <f t="shared" si="8"/>
      </c>
      <c r="K81" s="421">
        <f t="shared" si="9"/>
      </c>
      <c r="L81" s="113"/>
      <c r="M81" s="114"/>
      <c r="N81" s="115"/>
      <c r="O81" s="116"/>
      <c r="P81" s="105"/>
      <c r="Q81" s="113"/>
      <c r="R81" s="114"/>
      <c r="S81" s="115"/>
      <c r="T81" s="116"/>
      <c r="U81" s="105"/>
      <c r="V81" s="130">
        <v>4300</v>
      </c>
      <c r="W81" s="30"/>
      <c r="X81" s="31"/>
      <c r="Y81" s="31"/>
      <c r="Z81" s="32"/>
      <c r="AA81" s="29"/>
      <c r="AB81" s="33"/>
      <c r="AC81" s="33"/>
      <c r="AD81" s="4"/>
      <c r="AH81" s="228"/>
      <c r="AI81" s="230"/>
      <c r="AJ81" s="229"/>
      <c r="AK81" s="230"/>
      <c r="AL81" s="324"/>
      <c r="AM81" s="328"/>
    </row>
    <row r="82" spans="1:39" ht="12.75">
      <c r="A82" s="233">
        <v>72</v>
      </c>
      <c r="B82" s="111" t="s">
        <v>100</v>
      </c>
      <c r="C82" s="613" t="s">
        <v>48</v>
      </c>
      <c r="D82" s="613" t="s">
        <v>47</v>
      </c>
      <c r="E82" s="154" t="str">
        <f t="shared" si="19"/>
        <v>No Criteria</v>
      </c>
      <c r="F82" s="245">
        <f t="shared" si="20"/>
      </c>
      <c r="G82" s="214">
        <f t="shared" si="16"/>
      </c>
      <c r="H82" s="215">
        <f t="shared" si="17"/>
      </c>
      <c r="I82" s="224">
        <f t="shared" si="18"/>
      </c>
      <c r="J82" s="422">
        <f t="shared" si="8"/>
      </c>
      <c r="K82" s="421">
        <f t="shared" si="9"/>
      </c>
      <c r="L82" s="113"/>
      <c r="M82" s="114"/>
      <c r="N82" s="115"/>
      <c r="O82" s="116"/>
      <c r="P82" s="105"/>
      <c r="Q82" s="113"/>
      <c r="R82" s="114"/>
      <c r="S82" s="115"/>
      <c r="T82" s="116"/>
      <c r="U82" s="105"/>
      <c r="V82" s="131"/>
      <c r="W82" s="30"/>
      <c r="X82" s="31"/>
      <c r="Y82" s="31"/>
      <c r="Z82" s="32"/>
      <c r="AA82" s="29"/>
      <c r="AB82" s="33"/>
      <c r="AC82" s="33"/>
      <c r="AD82" s="4"/>
      <c r="AH82" s="228"/>
      <c r="AI82" s="230"/>
      <c r="AJ82" s="229"/>
      <c r="AK82" s="230"/>
      <c r="AL82" s="324"/>
      <c r="AM82" s="328"/>
    </row>
    <row r="83" spans="1:39" s="6" customFormat="1" ht="12.75">
      <c r="A83" s="236">
        <v>73</v>
      </c>
      <c r="B83" s="111" t="s">
        <v>101</v>
      </c>
      <c r="C83" s="613" t="s">
        <v>48</v>
      </c>
      <c r="D83" s="613" t="s">
        <v>47</v>
      </c>
      <c r="E83" s="157">
        <f t="shared" si="19"/>
        <v>0.049</v>
      </c>
      <c r="F83" s="245" t="str">
        <f t="shared" si="20"/>
        <v>CTR HH</v>
      </c>
      <c r="G83" s="214">
        <f t="shared" si="16"/>
      </c>
      <c r="H83" s="215">
        <f t="shared" si="17"/>
      </c>
      <c r="I83" s="224">
        <f t="shared" si="18"/>
        <v>0.049</v>
      </c>
      <c r="J83" s="422">
        <f aca="true" t="shared" si="21" ref="J83:J133">IF(AND(zSSORegion="South Dumbarton Bridge",AH83&lt;&gt;""),AH83,IF(AND(zSSORegion="North Dumbarton Bridge",AJ83&lt;&gt;""),AJ83,""))</f>
      </c>
      <c r="K83" s="421">
        <f aca="true" t="shared" si="22" ref="K83:K133">IF(AND(zSSORegion="South Dumbarton Bridge",AI83&lt;&gt;""),AI83,IF(AND(zSSORegion="North Dumbarton Bridge",AK83&lt;&gt;""),AK83,""))</f>
      </c>
      <c r="L83" s="113"/>
      <c r="M83" s="114"/>
      <c r="N83" s="115"/>
      <c r="O83" s="116"/>
      <c r="P83" s="118"/>
      <c r="Q83" s="113"/>
      <c r="R83" s="114"/>
      <c r="S83" s="115"/>
      <c r="T83" s="116"/>
      <c r="U83" s="105"/>
      <c r="V83" s="133">
        <v>0.049</v>
      </c>
      <c r="W83" s="44"/>
      <c r="X83" s="45"/>
      <c r="Y83" s="45"/>
      <c r="Z83" s="46"/>
      <c r="AA83" s="43"/>
      <c r="AB83" s="7"/>
      <c r="AC83" s="7"/>
      <c r="AD83" s="8"/>
      <c r="AH83" s="228"/>
      <c r="AI83" s="230"/>
      <c r="AJ83" s="229"/>
      <c r="AK83" s="230"/>
      <c r="AL83" s="324"/>
      <c r="AM83" s="329"/>
    </row>
    <row r="84" spans="1:39" s="6" customFormat="1" ht="12.75">
      <c r="A84" s="236">
        <v>74</v>
      </c>
      <c r="B84" s="111" t="s">
        <v>102</v>
      </c>
      <c r="C84" s="613" t="s">
        <v>48</v>
      </c>
      <c r="D84" s="613" t="s">
        <v>47</v>
      </c>
      <c r="E84" s="157">
        <f t="shared" si="19"/>
        <v>0.049</v>
      </c>
      <c r="F84" s="245" t="str">
        <f t="shared" si="20"/>
        <v>CTR HH</v>
      </c>
      <c r="G84" s="214">
        <f t="shared" si="16"/>
      </c>
      <c r="H84" s="215">
        <f t="shared" si="17"/>
      </c>
      <c r="I84" s="224">
        <f t="shared" si="18"/>
        <v>0.049</v>
      </c>
      <c r="J84" s="422">
        <f t="shared" si="21"/>
      </c>
      <c r="K84" s="421">
        <f t="shared" si="22"/>
      </c>
      <c r="L84" s="113"/>
      <c r="M84" s="114"/>
      <c r="N84" s="115"/>
      <c r="O84" s="116"/>
      <c r="P84" s="118"/>
      <c r="Q84" s="113"/>
      <c r="R84" s="114"/>
      <c r="S84" s="115"/>
      <c r="T84" s="116"/>
      <c r="U84" s="105"/>
      <c r="V84" s="133">
        <v>0.049</v>
      </c>
      <c r="W84" s="44"/>
      <c r="X84" s="45"/>
      <c r="Y84" s="45"/>
      <c r="Z84" s="46"/>
      <c r="AA84" s="43"/>
      <c r="AB84" s="7"/>
      <c r="AC84" s="7"/>
      <c r="AD84" s="8"/>
      <c r="AH84" s="228"/>
      <c r="AI84" s="230"/>
      <c r="AJ84" s="229"/>
      <c r="AK84" s="230"/>
      <c r="AL84" s="324"/>
      <c r="AM84" s="329"/>
    </row>
    <row r="85" spans="1:39" ht="12.75">
      <c r="A85" s="233">
        <v>75</v>
      </c>
      <c r="B85" s="111" t="s">
        <v>103</v>
      </c>
      <c r="C85" s="613" t="s">
        <v>48</v>
      </c>
      <c r="D85" s="613" t="s">
        <v>47</v>
      </c>
      <c r="E85" s="155">
        <f t="shared" si="19"/>
        <v>17000</v>
      </c>
      <c r="F85" s="245" t="str">
        <f t="shared" si="20"/>
        <v>CTR HH</v>
      </c>
      <c r="G85" s="214">
        <f t="shared" si="16"/>
      </c>
      <c r="H85" s="215">
        <f t="shared" si="17"/>
      </c>
      <c r="I85" s="224">
        <f t="shared" si="18"/>
        <v>17000</v>
      </c>
      <c r="J85" s="422">
        <f t="shared" si="21"/>
      </c>
      <c r="K85" s="421">
        <f t="shared" si="22"/>
      </c>
      <c r="L85" s="113"/>
      <c r="M85" s="114"/>
      <c r="N85" s="115"/>
      <c r="O85" s="116"/>
      <c r="P85" s="105"/>
      <c r="Q85" s="113"/>
      <c r="R85" s="114"/>
      <c r="S85" s="115"/>
      <c r="T85" s="116"/>
      <c r="U85" s="105"/>
      <c r="V85" s="130">
        <v>17000</v>
      </c>
      <c r="W85" s="30"/>
      <c r="X85" s="31"/>
      <c r="Y85" s="31"/>
      <c r="Z85" s="32"/>
      <c r="AA85" s="29"/>
      <c r="AB85" s="33"/>
      <c r="AC85" s="33"/>
      <c r="AD85" s="4"/>
      <c r="AH85" s="228"/>
      <c r="AI85" s="230"/>
      <c r="AJ85" s="229"/>
      <c r="AK85" s="230"/>
      <c r="AL85" s="324"/>
      <c r="AM85" s="328"/>
    </row>
    <row r="86" spans="1:39" ht="12.75">
      <c r="A86" s="233">
        <v>76</v>
      </c>
      <c r="B86" s="111" t="s">
        <v>104</v>
      </c>
      <c r="C86" s="613" t="s">
        <v>48</v>
      </c>
      <c r="D86" s="613" t="s">
        <v>47</v>
      </c>
      <c r="E86" s="155">
        <f t="shared" si="19"/>
        <v>2600</v>
      </c>
      <c r="F86" s="245" t="str">
        <f t="shared" si="20"/>
        <v>CTR HH</v>
      </c>
      <c r="G86" s="214">
        <f t="shared" si="16"/>
      </c>
      <c r="H86" s="215">
        <f t="shared" si="17"/>
      </c>
      <c r="I86" s="224">
        <f t="shared" si="18"/>
        <v>2600</v>
      </c>
      <c r="J86" s="422">
        <f t="shared" si="21"/>
      </c>
      <c r="K86" s="421">
        <f t="shared" si="22"/>
      </c>
      <c r="L86" s="113"/>
      <c r="M86" s="114"/>
      <c r="N86" s="115"/>
      <c r="O86" s="116"/>
      <c r="P86" s="105"/>
      <c r="Q86" s="113"/>
      <c r="R86" s="114"/>
      <c r="S86" s="115"/>
      <c r="T86" s="116"/>
      <c r="U86" s="105"/>
      <c r="V86" s="130">
        <v>2600</v>
      </c>
      <c r="W86" s="30"/>
      <c r="X86" s="31"/>
      <c r="Y86" s="31"/>
      <c r="Z86" s="32"/>
      <c r="AA86" s="29"/>
      <c r="AB86" s="33"/>
      <c r="AC86" s="33"/>
      <c r="AD86" s="4"/>
      <c r="AH86" s="228"/>
      <c r="AI86" s="230"/>
      <c r="AJ86" s="229"/>
      <c r="AK86" s="230"/>
      <c r="AL86" s="324"/>
      <c r="AM86" s="328"/>
    </row>
    <row r="87" spans="1:39" ht="12.75">
      <c r="A87" s="233">
        <v>77</v>
      </c>
      <c r="B87" s="111" t="s">
        <v>105</v>
      </c>
      <c r="C87" s="613" t="s">
        <v>48</v>
      </c>
      <c r="D87" s="613" t="s">
        <v>47</v>
      </c>
      <c r="E87" s="155">
        <f t="shared" si="19"/>
        <v>2600</v>
      </c>
      <c r="F87" s="245" t="str">
        <f t="shared" si="20"/>
        <v>CTR HH</v>
      </c>
      <c r="G87" s="214">
        <f t="shared" si="16"/>
      </c>
      <c r="H87" s="215">
        <f t="shared" si="17"/>
      </c>
      <c r="I87" s="224">
        <f t="shared" si="18"/>
        <v>2600</v>
      </c>
      <c r="J87" s="422">
        <f t="shared" si="21"/>
      </c>
      <c r="K87" s="421">
        <f t="shared" si="22"/>
      </c>
      <c r="L87" s="113"/>
      <c r="M87" s="114"/>
      <c r="N87" s="115"/>
      <c r="O87" s="116"/>
      <c r="P87" s="105"/>
      <c r="Q87" s="113"/>
      <c r="R87" s="114"/>
      <c r="S87" s="115"/>
      <c r="T87" s="116"/>
      <c r="U87" s="105"/>
      <c r="V87" s="130">
        <v>2600</v>
      </c>
      <c r="W87" s="30"/>
      <c r="X87" s="31"/>
      <c r="Y87" s="31"/>
      <c r="Z87" s="32"/>
      <c r="AA87" s="29"/>
      <c r="AB87" s="33"/>
      <c r="AC87" s="33"/>
      <c r="AD87" s="4"/>
      <c r="AH87" s="228"/>
      <c r="AI87" s="230"/>
      <c r="AJ87" s="229"/>
      <c r="AK87" s="230"/>
      <c r="AL87" s="324"/>
      <c r="AM87" s="328"/>
    </row>
    <row r="88" spans="1:39" ht="12.75">
      <c r="A88" s="233">
        <v>78</v>
      </c>
      <c r="B88" s="111" t="s">
        <v>205</v>
      </c>
      <c r="C88" s="613" t="s">
        <v>48</v>
      </c>
      <c r="D88" s="613" t="s">
        <v>47</v>
      </c>
      <c r="E88" s="157">
        <f t="shared" si="19"/>
        <v>0.077</v>
      </c>
      <c r="F88" s="245" t="str">
        <f t="shared" si="20"/>
        <v>CTR HH</v>
      </c>
      <c r="G88" s="214">
        <f t="shared" si="16"/>
      </c>
      <c r="H88" s="215">
        <f t="shared" si="17"/>
      </c>
      <c r="I88" s="224">
        <f t="shared" si="18"/>
        <v>0.077</v>
      </c>
      <c r="J88" s="422">
        <f t="shared" si="21"/>
      </c>
      <c r="K88" s="421">
        <f t="shared" si="22"/>
      </c>
      <c r="L88" s="113"/>
      <c r="M88" s="114"/>
      <c r="N88" s="115"/>
      <c r="O88" s="116"/>
      <c r="P88" s="105"/>
      <c r="Q88" s="113"/>
      <c r="R88" s="114"/>
      <c r="S88" s="115"/>
      <c r="T88" s="116"/>
      <c r="U88" s="105"/>
      <c r="V88" s="133">
        <v>0.077</v>
      </c>
      <c r="W88" s="30"/>
      <c r="X88" s="31"/>
      <c r="Y88" s="31"/>
      <c r="Z88" s="32"/>
      <c r="AA88" s="29"/>
      <c r="AB88" s="33"/>
      <c r="AC88" s="33"/>
      <c r="AD88" s="4"/>
      <c r="AH88" s="228"/>
      <c r="AI88" s="230"/>
      <c r="AJ88" s="229"/>
      <c r="AK88" s="230"/>
      <c r="AL88" s="324"/>
      <c r="AM88" s="328"/>
    </row>
    <row r="89" spans="1:39" ht="12.75">
      <c r="A89" s="233">
        <v>79</v>
      </c>
      <c r="B89" s="111" t="s">
        <v>106</v>
      </c>
      <c r="C89" s="613" t="s">
        <v>48</v>
      </c>
      <c r="D89" s="613" t="s">
        <v>47</v>
      </c>
      <c r="E89" s="155">
        <f t="shared" si="19"/>
        <v>120000</v>
      </c>
      <c r="F89" s="245" t="str">
        <f t="shared" si="20"/>
        <v>CTR HH</v>
      </c>
      <c r="G89" s="214">
        <f t="shared" si="16"/>
      </c>
      <c r="H89" s="215">
        <f t="shared" si="17"/>
      </c>
      <c r="I89" s="224">
        <f t="shared" si="18"/>
        <v>120000</v>
      </c>
      <c r="J89" s="422">
        <f t="shared" si="21"/>
      </c>
      <c r="K89" s="421">
        <f t="shared" si="22"/>
      </c>
      <c r="L89" s="113"/>
      <c r="M89" s="114"/>
      <c r="N89" s="115"/>
      <c r="O89" s="116"/>
      <c r="P89" s="105"/>
      <c r="Q89" s="113"/>
      <c r="R89" s="114"/>
      <c r="S89" s="115"/>
      <c r="T89" s="116"/>
      <c r="U89" s="105"/>
      <c r="V89" s="130">
        <v>120000</v>
      </c>
      <c r="W89" s="30"/>
      <c r="X89" s="31"/>
      <c r="Y89" s="31"/>
      <c r="Z89" s="32"/>
      <c r="AA89" s="29"/>
      <c r="AB89" s="33"/>
      <c r="AC89" s="33"/>
      <c r="AD89" s="4"/>
      <c r="AH89" s="228"/>
      <c r="AI89" s="230"/>
      <c r="AJ89" s="229"/>
      <c r="AK89" s="230"/>
      <c r="AL89" s="324"/>
      <c r="AM89" s="328"/>
    </row>
    <row r="90" spans="1:39" ht="12.75">
      <c r="A90" s="233">
        <v>80</v>
      </c>
      <c r="B90" s="111" t="s">
        <v>107</v>
      </c>
      <c r="C90" s="613" t="s">
        <v>48</v>
      </c>
      <c r="D90" s="613" t="s">
        <v>47</v>
      </c>
      <c r="E90" s="155">
        <f t="shared" si="19"/>
        <v>2900000</v>
      </c>
      <c r="F90" s="245" t="str">
        <f t="shared" si="20"/>
        <v>CTR HH</v>
      </c>
      <c r="G90" s="214">
        <f t="shared" si="16"/>
      </c>
      <c r="H90" s="215">
        <f t="shared" si="17"/>
      </c>
      <c r="I90" s="224">
        <f t="shared" si="18"/>
        <v>2900000</v>
      </c>
      <c r="J90" s="422">
        <f t="shared" si="21"/>
      </c>
      <c r="K90" s="421">
        <f t="shared" si="22"/>
      </c>
      <c r="L90" s="113"/>
      <c r="M90" s="114"/>
      <c r="N90" s="115"/>
      <c r="O90" s="116"/>
      <c r="P90" s="105"/>
      <c r="Q90" s="113"/>
      <c r="R90" s="114"/>
      <c r="S90" s="115"/>
      <c r="T90" s="116"/>
      <c r="U90" s="105"/>
      <c r="V90" s="130">
        <v>2900000</v>
      </c>
      <c r="W90" s="30"/>
      <c r="X90" s="31"/>
      <c r="Y90" s="31"/>
      <c r="Z90" s="32"/>
      <c r="AA90" s="29"/>
      <c r="AB90" s="33"/>
      <c r="AC90" s="33"/>
      <c r="AD90" s="4"/>
      <c r="AH90" s="228"/>
      <c r="AI90" s="230"/>
      <c r="AJ90" s="229"/>
      <c r="AK90" s="230"/>
      <c r="AL90" s="324"/>
      <c r="AM90" s="328"/>
    </row>
    <row r="91" spans="1:39" ht="12.75">
      <c r="A91" s="233">
        <v>81</v>
      </c>
      <c r="B91" s="111" t="s">
        <v>108</v>
      </c>
      <c r="C91" s="613" t="s">
        <v>48</v>
      </c>
      <c r="D91" s="613" t="s">
        <v>47</v>
      </c>
      <c r="E91" s="155">
        <f t="shared" si="19"/>
        <v>12000</v>
      </c>
      <c r="F91" s="245" t="str">
        <f t="shared" si="20"/>
        <v>CTR HH</v>
      </c>
      <c r="G91" s="214">
        <f t="shared" si="16"/>
      </c>
      <c r="H91" s="215">
        <f t="shared" si="17"/>
      </c>
      <c r="I91" s="224">
        <f t="shared" si="18"/>
        <v>12000</v>
      </c>
      <c r="J91" s="422">
        <f t="shared" si="21"/>
      </c>
      <c r="K91" s="421">
        <f t="shared" si="22"/>
      </c>
      <c r="L91" s="113"/>
      <c r="M91" s="114"/>
      <c r="N91" s="115"/>
      <c r="O91" s="116"/>
      <c r="P91" s="105"/>
      <c r="Q91" s="113"/>
      <c r="R91" s="114"/>
      <c r="S91" s="115"/>
      <c r="T91" s="116"/>
      <c r="U91" s="105"/>
      <c r="V91" s="130">
        <v>12000</v>
      </c>
      <c r="W91" s="30"/>
      <c r="X91" s="31"/>
      <c r="Y91" s="31"/>
      <c r="Z91" s="32"/>
      <c r="AA91" s="29"/>
      <c r="AB91" s="33"/>
      <c r="AC91" s="33"/>
      <c r="AD91" s="4"/>
      <c r="AH91" s="228"/>
      <c r="AI91" s="230"/>
      <c r="AJ91" s="229"/>
      <c r="AK91" s="230"/>
      <c r="AL91" s="324"/>
      <c r="AM91" s="328"/>
    </row>
    <row r="92" spans="1:39" ht="12.75">
      <c r="A92" s="233">
        <v>82</v>
      </c>
      <c r="B92" s="111" t="s">
        <v>109</v>
      </c>
      <c r="C92" s="613" t="s">
        <v>48</v>
      </c>
      <c r="D92" s="613" t="s">
        <v>47</v>
      </c>
      <c r="E92" s="149">
        <f t="shared" si="19"/>
        <v>9.1</v>
      </c>
      <c r="F92" s="245" t="str">
        <f t="shared" si="20"/>
        <v>CTR HH</v>
      </c>
      <c r="G92" s="214">
        <f t="shared" si="16"/>
      </c>
      <c r="H92" s="215">
        <f t="shared" si="17"/>
      </c>
      <c r="I92" s="224">
        <f t="shared" si="18"/>
        <v>9.1</v>
      </c>
      <c r="J92" s="422">
        <f t="shared" si="21"/>
      </c>
      <c r="K92" s="421">
        <f t="shared" si="22"/>
      </c>
      <c r="L92" s="113"/>
      <c r="M92" s="114"/>
      <c r="N92" s="115"/>
      <c r="O92" s="116"/>
      <c r="P92" s="105"/>
      <c r="Q92" s="113"/>
      <c r="R92" s="114"/>
      <c r="S92" s="115"/>
      <c r="T92" s="116"/>
      <c r="U92" s="105"/>
      <c r="V92" s="129">
        <v>9.1</v>
      </c>
      <c r="W92" s="30"/>
      <c r="X92" s="31"/>
      <c r="Y92" s="31"/>
      <c r="Z92" s="32"/>
      <c r="AA92" s="29"/>
      <c r="AB92" s="33"/>
      <c r="AC92" s="33"/>
      <c r="AD92" s="4"/>
      <c r="AH92" s="228"/>
      <c r="AI92" s="230"/>
      <c r="AJ92" s="229"/>
      <c r="AK92" s="230"/>
      <c r="AL92" s="324"/>
      <c r="AM92" s="328"/>
    </row>
    <row r="93" spans="1:39" ht="12.75">
      <c r="A93" s="233">
        <v>83</v>
      </c>
      <c r="B93" s="111" t="s">
        <v>110</v>
      </c>
      <c r="C93" s="613" t="s">
        <v>48</v>
      </c>
      <c r="D93" s="613" t="s">
        <v>47</v>
      </c>
      <c r="E93" s="154" t="str">
        <f t="shared" si="19"/>
        <v>No Criteria</v>
      </c>
      <c r="F93" s="245">
        <f t="shared" si="20"/>
      </c>
      <c r="G93" s="214">
        <f t="shared" si="16"/>
      </c>
      <c r="H93" s="215">
        <f t="shared" si="17"/>
      </c>
      <c r="I93" s="224">
        <f t="shared" si="18"/>
      </c>
      <c r="J93" s="422">
        <f t="shared" si="21"/>
      </c>
      <c r="K93" s="421">
        <f t="shared" si="22"/>
      </c>
      <c r="L93" s="113"/>
      <c r="M93" s="114"/>
      <c r="N93" s="115"/>
      <c r="O93" s="116"/>
      <c r="P93" s="105"/>
      <c r="Q93" s="113"/>
      <c r="R93" s="114"/>
      <c r="S93" s="115"/>
      <c r="T93" s="116"/>
      <c r="U93" s="105"/>
      <c r="V93" s="131"/>
      <c r="W93" s="30"/>
      <c r="X93" s="31"/>
      <c r="Y93" s="31"/>
      <c r="Z93" s="32"/>
      <c r="AA93" s="29"/>
      <c r="AB93" s="33"/>
      <c r="AC93" s="33"/>
      <c r="AD93" s="4"/>
      <c r="AH93" s="228"/>
      <c r="AI93" s="230"/>
      <c r="AJ93" s="229"/>
      <c r="AK93" s="230"/>
      <c r="AL93" s="324"/>
      <c r="AM93" s="328"/>
    </row>
    <row r="94" spans="1:39" ht="12.75">
      <c r="A94" s="233">
        <v>84</v>
      </c>
      <c r="B94" s="111" t="s">
        <v>111</v>
      </c>
      <c r="C94" s="613" t="s">
        <v>48</v>
      </c>
      <c r="D94" s="613" t="s">
        <v>47</v>
      </c>
      <c r="E94" s="154" t="str">
        <f t="shared" si="19"/>
        <v>No Criteria</v>
      </c>
      <c r="F94" s="245">
        <f t="shared" si="20"/>
      </c>
      <c r="G94" s="214">
        <f t="shared" si="16"/>
      </c>
      <c r="H94" s="215">
        <f t="shared" si="17"/>
      </c>
      <c r="I94" s="224">
        <f t="shared" si="18"/>
      </c>
      <c r="J94" s="422">
        <f t="shared" si="21"/>
      </c>
      <c r="K94" s="421">
        <f t="shared" si="22"/>
      </c>
      <c r="L94" s="113"/>
      <c r="M94" s="114"/>
      <c r="N94" s="115"/>
      <c r="O94" s="116"/>
      <c r="P94" s="105"/>
      <c r="Q94" s="113"/>
      <c r="R94" s="114"/>
      <c r="S94" s="115"/>
      <c r="T94" s="116"/>
      <c r="U94" s="105"/>
      <c r="V94" s="131"/>
      <c r="W94" s="30"/>
      <c r="X94" s="31"/>
      <c r="Y94" s="31"/>
      <c r="Z94" s="32"/>
      <c r="AA94" s="29"/>
      <c r="AB94" s="33"/>
      <c r="AC94" s="33"/>
      <c r="AD94" s="4"/>
      <c r="AH94" s="228"/>
      <c r="AI94" s="230"/>
      <c r="AJ94" s="229"/>
      <c r="AK94" s="230"/>
      <c r="AL94" s="324"/>
      <c r="AM94" s="328"/>
    </row>
    <row r="95" spans="1:39" ht="12.75">
      <c r="A95" s="233">
        <v>85</v>
      </c>
      <c r="B95" s="111" t="s">
        <v>112</v>
      </c>
      <c r="C95" s="613" t="s">
        <v>48</v>
      </c>
      <c r="D95" s="613" t="s">
        <v>47</v>
      </c>
      <c r="E95" s="149">
        <f t="shared" si="19"/>
        <v>0.54</v>
      </c>
      <c r="F95" s="245" t="str">
        <f aca="true" t="shared" si="23" ref="F95:F133">IF(MIN(J95:K95)=E95,"BP SSO",IF(MIN(L95:M95)=E95,"BP FW",IF(MIN(N95:O95)=E95,"BP SW",IF(P95=E95,"BP HH",IF(MIN(Q95:R95)=E95,"CTR FW",IF(MIN(S95:T95)=E95,"CTR SW",IF(MIN(U95:V95)=E95,"CTR HH","")))))))</f>
        <v>CTR HH</v>
      </c>
      <c r="G95" s="246">
        <f t="shared" si="16"/>
      </c>
      <c r="H95" s="247">
        <f t="shared" si="17"/>
      </c>
      <c r="I95" s="224">
        <f t="shared" si="18"/>
        <v>0.54</v>
      </c>
      <c r="J95" s="422">
        <f t="shared" si="21"/>
      </c>
      <c r="K95" s="421">
        <f t="shared" si="22"/>
      </c>
      <c r="L95" s="113"/>
      <c r="M95" s="114"/>
      <c r="N95" s="115"/>
      <c r="O95" s="116"/>
      <c r="P95" s="105"/>
      <c r="Q95" s="113"/>
      <c r="R95" s="114"/>
      <c r="S95" s="115"/>
      <c r="T95" s="116"/>
      <c r="U95" s="105"/>
      <c r="V95" s="128">
        <v>0.54</v>
      </c>
      <c r="W95" s="30"/>
      <c r="X95" s="31"/>
      <c r="Y95" s="31"/>
      <c r="Z95" s="32"/>
      <c r="AA95" s="29"/>
      <c r="AB95" s="33"/>
      <c r="AC95" s="33"/>
      <c r="AD95" s="4"/>
      <c r="AH95" s="228"/>
      <c r="AI95" s="230"/>
      <c r="AJ95" s="229"/>
      <c r="AK95" s="230"/>
      <c r="AL95" s="324"/>
      <c r="AM95" s="328"/>
    </row>
    <row r="96" spans="1:39" ht="12.75">
      <c r="A96" s="233">
        <v>86</v>
      </c>
      <c r="B96" s="111" t="s">
        <v>113</v>
      </c>
      <c r="C96" s="613" t="s">
        <v>48</v>
      </c>
      <c r="D96" s="613" t="s">
        <v>47</v>
      </c>
      <c r="E96" s="155">
        <f t="shared" si="19"/>
        <v>370</v>
      </c>
      <c r="F96" s="245" t="str">
        <f t="shared" si="23"/>
        <v>CTR HH</v>
      </c>
      <c r="G96" s="246">
        <f t="shared" si="16"/>
      </c>
      <c r="H96" s="247">
        <f t="shared" si="17"/>
      </c>
      <c r="I96" s="224">
        <f t="shared" si="18"/>
        <v>370</v>
      </c>
      <c r="J96" s="422">
        <f t="shared" si="21"/>
      </c>
      <c r="K96" s="421">
        <f t="shared" si="22"/>
      </c>
      <c r="L96" s="113"/>
      <c r="M96" s="114"/>
      <c r="N96" s="115"/>
      <c r="O96" s="116"/>
      <c r="P96" s="105"/>
      <c r="Q96" s="113"/>
      <c r="R96" s="114"/>
      <c r="S96" s="115"/>
      <c r="T96" s="116"/>
      <c r="U96" s="105"/>
      <c r="V96" s="127">
        <v>370</v>
      </c>
      <c r="W96" s="30"/>
      <c r="X96" s="31"/>
      <c r="Y96" s="31"/>
      <c r="Z96" s="32"/>
      <c r="AA96" s="29"/>
      <c r="AB96" s="33"/>
      <c r="AC96" s="33"/>
      <c r="AD96" s="4"/>
      <c r="AH96" s="228"/>
      <c r="AI96" s="230"/>
      <c r="AJ96" s="229"/>
      <c r="AK96" s="230"/>
      <c r="AL96" s="324"/>
      <c r="AM96" s="328"/>
    </row>
    <row r="97" spans="1:39" ht="12.75">
      <c r="A97" s="233">
        <v>87</v>
      </c>
      <c r="B97" s="111" t="s">
        <v>114</v>
      </c>
      <c r="C97" s="613" t="s">
        <v>48</v>
      </c>
      <c r="D97" s="613" t="s">
        <v>47</v>
      </c>
      <c r="E97" s="155">
        <f t="shared" si="19"/>
        <v>14000</v>
      </c>
      <c r="F97" s="245" t="str">
        <f t="shared" si="23"/>
        <v>CTR HH</v>
      </c>
      <c r="G97" s="246">
        <f t="shared" si="16"/>
      </c>
      <c r="H97" s="247">
        <f t="shared" si="17"/>
      </c>
      <c r="I97" s="224">
        <f t="shared" si="18"/>
        <v>14000</v>
      </c>
      <c r="J97" s="422">
        <f t="shared" si="21"/>
      </c>
      <c r="K97" s="421">
        <f t="shared" si="22"/>
      </c>
      <c r="L97" s="113"/>
      <c r="M97" s="114"/>
      <c r="N97" s="115"/>
      <c r="O97" s="116"/>
      <c r="P97" s="105"/>
      <c r="Q97" s="113"/>
      <c r="R97" s="114"/>
      <c r="S97" s="115"/>
      <c r="T97" s="116"/>
      <c r="U97" s="105"/>
      <c r="V97" s="130">
        <v>14000</v>
      </c>
      <c r="W97" s="30"/>
      <c r="X97" s="31"/>
      <c r="Y97" s="31"/>
      <c r="Z97" s="32"/>
      <c r="AA97" s="29"/>
      <c r="AB97" s="33"/>
      <c r="AC97" s="33"/>
      <c r="AD97" s="4"/>
      <c r="AH97" s="228"/>
      <c r="AI97" s="230"/>
      <c r="AJ97" s="229"/>
      <c r="AK97" s="230"/>
      <c r="AL97" s="324"/>
      <c r="AM97" s="328"/>
    </row>
    <row r="98" spans="1:39" ht="12.75">
      <c r="A98" s="233">
        <v>88</v>
      </c>
      <c r="B98" s="111" t="s">
        <v>115</v>
      </c>
      <c r="C98" s="613" t="s">
        <v>48</v>
      </c>
      <c r="D98" s="613" t="s">
        <v>47</v>
      </c>
      <c r="E98" s="156">
        <f t="shared" si="19"/>
        <v>0.00077</v>
      </c>
      <c r="F98" s="245" t="str">
        <f t="shared" si="23"/>
        <v>CTR HH</v>
      </c>
      <c r="G98" s="246">
        <f t="shared" si="16"/>
      </c>
      <c r="H98" s="247">
        <f t="shared" si="17"/>
      </c>
      <c r="I98" s="224">
        <f t="shared" si="18"/>
        <v>0.00077</v>
      </c>
      <c r="J98" s="422">
        <f t="shared" si="21"/>
      </c>
      <c r="K98" s="421">
        <f t="shared" si="22"/>
      </c>
      <c r="L98" s="113"/>
      <c r="M98" s="114"/>
      <c r="N98" s="115"/>
      <c r="O98" s="116"/>
      <c r="P98" s="105"/>
      <c r="Q98" s="113"/>
      <c r="R98" s="114"/>
      <c r="S98" s="115"/>
      <c r="T98" s="116"/>
      <c r="U98" s="105"/>
      <c r="V98" s="132">
        <v>0.00077</v>
      </c>
      <c r="W98" s="30"/>
      <c r="X98" s="31"/>
      <c r="Y98" s="31"/>
      <c r="Z98" s="32"/>
      <c r="AA98" s="29"/>
      <c r="AB98" s="33"/>
      <c r="AC98" s="33"/>
      <c r="AD98" s="4"/>
      <c r="AH98" s="228"/>
      <c r="AI98" s="230"/>
      <c r="AJ98" s="229"/>
      <c r="AK98" s="230"/>
      <c r="AL98" s="324"/>
      <c r="AM98" s="328"/>
    </row>
    <row r="99" spans="1:39" ht="12.75">
      <c r="A99" s="233">
        <v>89</v>
      </c>
      <c r="B99" s="111" t="s">
        <v>116</v>
      </c>
      <c r="C99" s="613" t="s">
        <v>48</v>
      </c>
      <c r="D99" s="613" t="s">
        <v>47</v>
      </c>
      <c r="E99" s="152">
        <f t="shared" si="19"/>
        <v>50</v>
      </c>
      <c r="F99" s="245" t="str">
        <f t="shared" si="23"/>
        <v>CTR HH</v>
      </c>
      <c r="G99" s="246">
        <f t="shared" si="16"/>
      </c>
      <c r="H99" s="247">
        <f t="shared" si="17"/>
      </c>
      <c r="I99" s="224">
        <f t="shared" si="18"/>
        <v>50</v>
      </c>
      <c r="J99" s="422">
        <f t="shared" si="21"/>
      </c>
      <c r="K99" s="421">
        <f t="shared" si="22"/>
      </c>
      <c r="L99" s="113"/>
      <c r="M99" s="114"/>
      <c r="N99" s="115"/>
      <c r="O99" s="116"/>
      <c r="P99" s="105"/>
      <c r="Q99" s="113"/>
      <c r="R99" s="114"/>
      <c r="S99" s="115"/>
      <c r="T99" s="116"/>
      <c r="U99" s="105"/>
      <c r="V99" s="127">
        <v>50</v>
      </c>
      <c r="W99" s="30"/>
      <c r="X99" s="31"/>
      <c r="Y99" s="31"/>
      <c r="Z99" s="32"/>
      <c r="AA99" s="29"/>
      <c r="AB99" s="33"/>
      <c r="AC99" s="33"/>
      <c r="AD99" s="4"/>
      <c r="AH99" s="228"/>
      <c r="AI99" s="230"/>
      <c r="AJ99" s="229"/>
      <c r="AK99" s="230"/>
      <c r="AL99" s="324"/>
      <c r="AM99" s="328"/>
    </row>
    <row r="100" spans="1:39" ht="12.75">
      <c r="A100" s="233">
        <v>90</v>
      </c>
      <c r="B100" s="111" t="s">
        <v>117</v>
      </c>
      <c r="C100" s="613" t="s">
        <v>48</v>
      </c>
      <c r="D100" s="613" t="s">
        <v>47</v>
      </c>
      <c r="E100" s="155">
        <f t="shared" si="19"/>
        <v>17000</v>
      </c>
      <c r="F100" s="245" t="str">
        <f t="shared" si="23"/>
        <v>CTR HH</v>
      </c>
      <c r="G100" s="246">
        <f t="shared" si="16"/>
      </c>
      <c r="H100" s="247">
        <f t="shared" si="17"/>
      </c>
      <c r="I100" s="224">
        <f t="shared" si="18"/>
        <v>17000</v>
      </c>
      <c r="J100" s="422">
        <f t="shared" si="21"/>
      </c>
      <c r="K100" s="421">
        <f t="shared" si="22"/>
      </c>
      <c r="L100" s="113"/>
      <c r="M100" s="114"/>
      <c r="N100" s="115"/>
      <c r="O100" s="116"/>
      <c r="P100" s="105"/>
      <c r="Q100" s="113"/>
      <c r="R100" s="114"/>
      <c r="S100" s="115"/>
      <c r="T100" s="116"/>
      <c r="U100" s="105"/>
      <c r="V100" s="130">
        <v>17000</v>
      </c>
      <c r="W100" s="30"/>
      <c r="X100" s="31"/>
      <c r="Y100" s="31"/>
      <c r="Z100" s="32"/>
      <c r="AA100" s="29"/>
      <c r="AB100" s="33"/>
      <c r="AC100" s="33"/>
      <c r="AD100" s="4"/>
      <c r="AH100" s="228"/>
      <c r="AI100" s="230"/>
      <c r="AJ100" s="229"/>
      <c r="AK100" s="230"/>
      <c r="AL100" s="324"/>
      <c r="AM100" s="328"/>
    </row>
    <row r="101" spans="1:39" ht="12.75">
      <c r="A101" s="233">
        <v>91</v>
      </c>
      <c r="B101" s="111" t="s">
        <v>118</v>
      </c>
      <c r="C101" s="613" t="s">
        <v>48</v>
      </c>
      <c r="D101" s="613" t="s">
        <v>47</v>
      </c>
      <c r="E101" s="149">
        <f t="shared" si="19"/>
        <v>8.9</v>
      </c>
      <c r="F101" s="245" t="str">
        <f t="shared" si="23"/>
        <v>CTR HH</v>
      </c>
      <c r="G101" s="246">
        <f t="shared" si="16"/>
      </c>
      <c r="H101" s="247">
        <f t="shared" si="17"/>
      </c>
      <c r="I101" s="224">
        <f t="shared" si="18"/>
        <v>8.9</v>
      </c>
      <c r="J101" s="422">
        <f t="shared" si="21"/>
      </c>
      <c r="K101" s="421">
        <f t="shared" si="22"/>
      </c>
      <c r="L101" s="113"/>
      <c r="M101" s="114"/>
      <c r="N101" s="115"/>
      <c r="O101" s="116"/>
      <c r="P101" s="105"/>
      <c r="Q101" s="113"/>
      <c r="R101" s="114"/>
      <c r="S101" s="115"/>
      <c r="T101" s="116"/>
      <c r="U101" s="105"/>
      <c r="V101" s="129">
        <v>8.9</v>
      </c>
      <c r="W101" s="30"/>
      <c r="X101" s="31"/>
      <c r="Y101" s="31"/>
      <c r="Z101" s="32"/>
      <c r="AA101" s="29"/>
      <c r="AB101" s="33"/>
      <c r="AC101" s="33"/>
      <c r="AD101" s="4"/>
      <c r="AH101" s="228"/>
      <c r="AI101" s="230"/>
      <c r="AJ101" s="229"/>
      <c r="AK101" s="230"/>
      <c r="AL101" s="324"/>
      <c r="AM101" s="328"/>
    </row>
    <row r="102" spans="1:39" s="6" customFormat="1" ht="12.75">
      <c r="A102" s="233">
        <v>92</v>
      </c>
      <c r="B102" s="111" t="s">
        <v>206</v>
      </c>
      <c r="C102" s="613" t="s">
        <v>48</v>
      </c>
      <c r="D102" s="613" t="s">
        <v>47</v>
      </c>
      <c r="E102" s="157">
        <f t="shared" si="19"/>
        <v>0.049</v>
      </c>
      <c r="F102" s="245" t="str">
        <f t="shared" si="23"/>
        <v>CTR HH</v>
      </c>
      <c r="G102" s="246">
        <f t="shared" si="16"/>
      </c>
      <c r="H102" s="247">
        <f t="shared" si="17"/>
      </c>
      <c r="I102" s="224">
        <f t="shared" si="18"/>
        <v>0.049</v>
      </c>
      <c r="J102" s="422">
        <f t="shared" si="21"/>
      </c>
      <c r="K102" s="421">
        <f t="shared" si="22"/>
      </c>
      <c r="L102" s="113"/>
      <c r="M102" s="114"/>
      <c r="N102" s="115"/>
      <c r="O102" s="116"/>
      <c r="P102" s="118"/>
      <c r="Q102" s="113"/>
      <c r="R102" s="114"/>
      <c r="S102" s="115"/>
      <c r="T102" s="116"/>
      <c r="U102" s="105"/>
      <c r="V102" s="133">
        <v>0.049</v>
      </c>
      <c r="W102" s="44"/>
      <c r="X102" s="45"/>
      <c r="Y102" s="45"/>
      <c r="Z102" s="46"/>
      <c r="AA102" s="43"/>
      <c r="AB102" s="7"/>
      <c r="AC102" s="7"/>
      <c r="AD102" s="8"/>
      <c r="AH102" s="228"/>
      <c r="AI102" s="230"/>
      <c r="AJ102" s="229"/>
      <c r="AK102" s="230"/>
      <c r="AL102" s="324"/>
      <c r="AM102" s="329"/>
    </row>
    <row r="103" spans="1:39" ht="12.75">
      <c r="A103" s="233">
        <v>93</v>
      </c>
      <c r="B103" s="111" t="s">
        <v>119</v>
      </c>
      <c r="C103" s="613" t="s">
        <v>48</v>
      </c>
      <c r="D103" s="613" t="s">
        <v>47</v>
      </c>
      <c r="E103" s="152">
        <f t="shared" si="19"/>
        <v>600</v>
      </c>
      <c r="F103" s="245" t="str">
        <f t="shared" si="23"/>
        <v>CTR HH</v>
      </c>
      <c r="G103" s="246">
        <f t="shared" si="16"/>
      </c>
      <c r="H103" s="247">
        <f t="shared" si="17"/>
      </c>
      <c r="I103" s="224">
        <f t="shared" si="18"/>
        <v>600</v>
      </c>
      <c r="J103" s="422">
        <f t="shared" si="21"/>
      </c>
      <c r="K103" s="421">
        <f t="shared" si="22"/>
      </c>
      <c r="L103" s="113"/>
      <c r="M103" s="114"/>
      <c r="N103" s="115"/>
      <c r="O103" s="116"/>
      <c r="P103" s="105"/>
      <c r="Q103" s="113"/>
      <c r="R103" s="114"/>
      <c r="S103" s="115"/>
      <c r="T103" s="116"/>
      <c r="U103" s="105"/>
      <c r="V103" s="127">
        <v>600</v>
      </c>
      <c r="W103" s="30"/>
      <c r="X103" s="31"/>
      <c r="Y103" s="31"/>
      <c r="Z103" s="32"/>
      <c r="AA103" s="29"/>
      <c r="AB103" s="33"/>
      <c r="AC103" s="33"/>
      <c r="AD103" s="4"/>
      <c r="AH103" s="228"/>
      <c r="AI103" s="230"/>
      <c r="AJ103" s="229"/>
      <c r="AK103" s="230"/>
      <c r="AL103" s="324"/>
      <c r="AM103" s="328"/>
    </row>
    <row r="104" spans="1:39" ht="12.75">
      <c r="A104" s="233">
        <v>94</v>
      </c>
      <c r="B104" s="111" t="s">
        <v>207</v>
      </c>
      <c r="C104" s="613" t="s">
        <v>48</v>
      </c>
      <c r="D104" s="613" t="s">
        <v>47</v>
      </c>
      <c r="E104" s="154" t="str">
        <f t="shared" si="19"/>
        <v>No Criteria</v>
      </c>
      <c r="F104" s="245">
        <f t="shared" si="23"/>
      </c>
      <c r="G104" s="246">
        <f t="shared" si="16"/>
      </c>
      <c r="H104" s="247">
        <f t="shared" si="17"/>
      </c>
      <c r="I104" s="224">
        <f t="shared" si="18"/>
      </c>
      <c r="J104" s="422">
        <f t="shared" si="21"/>
      </c>
      <c r="K104" s="421">
        <f t="shared" si="22"/>
      </c>
      <c r="L104" s="113"/>
      <c r="M104" s="114"/>
      <c r="N104" s="115"/>
      <c r="O104" s="116"/>
      <c r="P104" s="105"/>
      <c r="Q104" s="113"/>
      <c r="R104" s="114"/>
      <c r="S104" s="115"/>
      <c r="T104" s="116"/>
      <c r="U104" s="105"/>
      <c r="V104" s="131"/>
      <c r="W104" s="30"/>
      <c r="X104" s="31"/>
      <c r="Y104" s="31"/>
      <c r="Z104" s="32"/>
      <c r="AA104" s="29"/>
      <c r="AB104" s="33"/>
      <c r="AC104" s="33"/>
      <c r="AD104" s="4"/>
      <c r="AH104" s="228"/>
      <c r="AI104" s="230"/>
      <c r="AJ104" s="229"/>
      <c r="AK104" s="230"/>
      <c r="AL104" s="324"/>
      <c r="AM104" s="328"/>
    </row>
    <row r="105" spans="1:39" ht="12.75">
      <c r="A105" s="233">
        <v>95</v>
      </c>
      <c r="B105" s="111" t="s">
        <v>121</v>
      </c>
      <c r="C105" s="613" t="s">
        <v>48</v>
      </c>
      <c r="D105" s="613" t="s">
        <v>47</v>
      </c>
      <c r="E105" s="155">
        <f t="shared" si="19"/>
        <v>1900</v>
      </c>
      <c r="F105" s="245" t="str">
        <f t="shared" si="23"/>
        <v>CTR HH</v>
      </c>
      <c r="G105" s="246">
        <f t="shared" si="16"/>
      </c>
      <c r="H105" s="247">
        <f t="shared" si="17"/>
      </c>
      <c r="I105" s="224">
        <f t="shared" si="18"/>
        <v>1900</v>
      </c>
      <c r="J105" s="422">
        <f t="shared" si="21"/>
      </c>
      <c r="K105" s="421">
        <f t="shared" si="22"/>
      </c>
      <c r="L105" s="113"/>
      <c r="M105" s="114"/>
      <c r="N105" s="115"/>
      <c r="O105" s="116"/>
      <c r="P105" s="105"/>
      <c r="Q105" s="113"/>
      <c r="R105" s="114"/>
      <c r="S105" s="115"/>
      <c r="T105" s="116"/>
      <c r="U105" s="105"/>
      <c r="V105" s="130">
        <v>1900</v>
      </c>
      <c r="W105" s="30"/>
      <c r="X105" s="31"/>
      <c r="Y105" s="31"/>
      <c r="Z105" s="32"/>
      <c r="AA105" s="29"/>
      <c r="AB105" s="33"/>
      <c r="AC105" s="33"/>
      <c r="AD105" s="4"/>
      <c r="AH105" s="228"/>
      <c r="AI105" s="230"/>
      <c r="AJ105" s="229"/>
      <c r="AK105" s="230"/>
      <c r="AL105" s="324"/>
      <c r="AM105" s="328"/>
    </row>
    <row r="106" spans="1:39" ht="12.75">
      <c r="A106" s="233">
        <v>96</v>
      </c>
      <c r="B106" s="111" t="s">
        <v>122</v>
      </c>
      <c r="C106" s="613" t="s">
        <v>48</v>
      </c>
      <c r="D106" s="613" t="s">
        <v>47</v>
      </c>
      <c r="E106" s="149">
        <f t="shared" si="19"/>
        <v>8.1</v>
      </c>
      <c r="F106" s="245" t="str">
        <f t="shared" si="23"/>
        <v>CTR HH</v>
      </c>
      <c r="G106" s="246">
        <f aca="true" t="shared" si="24" ref="G106:G133">IF(J106&lt;&gt;"",J106,IF(zSSORegion&lt;&gt;"South Dumbarton Bridge",IF(zSalinity="Freshwater",IF(MIN(L106,Q106)&gt;0,MIN(L106,Q106),""),IF(zSalinity="Saltwater",IF(MIN(N106,S106)&gt;0,MIN(N106,S106),""),IF(MIN(L106,N106,Q106,S106)&gt;0,MIN(L106,N106,Q106,S106),""))),IF(zSalinity="Freshwater",IF(Q106&gt;0,Q106,""),IF(zSalinity="Saltwater",IF(S106&gt;0,S106,""),IF(MIN(Q106,S106)&gt;0,MIN(Q106,S106),"")))))</f>
      </c>
      <c r="H106" s="247">
        <f aca="true" t="shared" si="25" ref="H106:H133">IF(K106&lt;&gt;"",K106,IF(zSSORegion&lt;&gt;"South Dumbarton Bridge",IF(zSalinity="Freshwater",IF(MIN(M106,R106)&gt;0,MIN(M106,R106),""),IF(zSalinity="Saltwater",IF(MIN(O106,T106)&gt;0,MIN(O106,T106),""),IF(MIN(M106,O106,R106,T106)&gt;0,MIN(M106,O106,R106,T106),""))),IF(zSalinity="Freshwater",IF(R106&gt;0,R106,""),IF(zSalinity="Saltwater",IF(T106&gt;0,T106,""),IF(MIN(R106,T106)&gt;0,MIN(R106,T106),"")))))</f>
      </c>
      <c r="I106" s="224">
        <f aca="true" t="shared" si="26" ref="I106:I133">IF(zSSORegion&lt;&gt;"South Dumbarton Bridge",IF(MIN(P106,U106,V106)&gt;0,MIN(P106,U106,V106),""),IF(MIN(U106,V106)&gt;0,MIN(U106,V106),""))</f>
        <v>8.1</v>
      </c>
      <c r="J106" s="422">
        <f t="shared" si="21"/>
      </c>
      <c r="K106" s="421">
        <f t="shared" si="22"/>
      </c>
      <c r="L106" s="113"/>
      <c r="M106" s="114"/>
      <c r="N106" s="115"/>
      <c r="O106" s="116"/>
      <c r="P106" s="105"/>
      <c r="Q106" s="113"/>
      <c r="R106" s="114"/>
      <c r="S106" s="115"/>
      <c r="T106" s="116"/>
      <c r="U106" s="105"/>
      <c r="V106" s="129">
        <v>8.1</v>
      </c>
      <c r="W106" s="30"/>
      <c r="X106" s="31"/>
      <c r="Y106" s="31"/>
      <c r="Z106" s="32"/>
      <c r="AA106" s="29"/>
      <c r="AB106" s="33"/>
      <c r="AC106" s="33"/>
      <c r="AD106" s="4"/>
      <c r="AH106" s="228"/>
      <c r="AI106" s="230"/>
      <c r="AJ106" s="229"/>
      <c r="AK106" s="230"/>
      <c r="AL106" s="324"/>
      <c r="AM106" s="328"/>
    </row>
    <row r="107" spans="1:39" ht="12.75">
      <c r="A107" s="233">
        <v>97</v>
      </c>
      <c r="B107" s="111" t="s">
        <v>123</v>
      </c>
      <c r="C107" s="613" t="s">
        <v>48</v>
      </c>
      <c r="D107" s="613" t="s">
        <v>47</v>
      </c>
      <c r="E107" s="149">
        <f t="shared" si="19"/>
        <v>1.4</v>
      </c>
      <c r="F107" s="245" t="str">
        <f t="shared" si="23"/>
        <v>CTR HH</v>
      </c>
      <c r="G107" s="246">
        <f t="shared" si="24"/>
      </c>
      <c r="H107" s="247">
        <f t="shared" si="25"/>
      </c>
      <c r="I107" s="224">
        <f t="shared" si="26"/>
        <v>1.4</v>
      </c>
      <c r="J107" s="422">
        <f t="shared" si="21"/>
      </c>
      <c r="K107" s="421">
        <f t="shared" si="22"/>
      </c>
      <c r="L107" s="113"/>
      <c r="M107" s="114"/>
      <c r="N107" s="115"/>
      <c r="O107" s="116"/>
      <c r="P107" s="105"/>
      <c r="Q107" s="113"/>
      <c r="R107" s="114"/>
      <c r="S107" s="115"/>
      <c r="T107" s="116"/>
      <c r="U107" s="105"/>
      <c r="V107" s="129">
        <v>1.4</v>
      </c>
      <c r="W107" s="30"/>
      <c r="X107" s="31"/>
      <c r="Y107" s="31"/>
      <c r="Z107" s="32"/>
      <c r="AA107" s="29"/>
      <c r="AB107" s="33"/>
      <c r="AC107" s="33"/>
      <c r="AD107" s="4"/>
      <c r="AH107" s="228"/>
      <c r="AI107" s="230"/>
      <c r="AJ107" s="229"/>
      <c r="AK107" s="230"/>
      <c r="AL107" s="324"/>
      <c r="AM107" s="328"/>
    </row>
    <row r="108" spans="1:39" ht="12.75">
      <c r="A108" s="233">
        <v>98</v>
      </c>
      <c r="B108" s="111" t="s">
        <v>124</v>
      </c>
      <c r="C108" s="613" t="s">
        <v>48</v>
      </c>
      <c r="D108" s="613" t="s">
        <v>47</v>
      </c>
      <c r="E108" s="152">
        <f t="shared" si="19"/>
        <v>16</v>
      </c>
      <c r="F108" s="245" t="str">
        <f t="shared" si="23"/>
        <v>CTR HH</v>
      </c>
      <c r="G108" s="246">
        <f t="shared" si="24"/>
      </c>
      <c r="H108" s="247">
        <f t="shared" si="25"/>
      </c>
      <c r="I108" s="224">
        <f t="shared" si="26"/>
        <v>16</v>
      </c>
      <c r="J108" s="422">
        <f t="shared" si="21"/>
      </c>
      <c r="K108" s="421">
        <f t="shared" si="22"/>
      </c>
      <c r="L108" s="113"/>
      <c r="M108" s="114"/>
      <c r="N108" s="115"/>
      <c r="O108" s="116"/>
      <c r="P108" s="105"/>
      <c r="Q108" s="113"/>
      <c r="R108" s="114"/>
      <c r="S108" s="115"/>
      <c r="T108" s="116"/>
      <c r="U108" s="105"/>
      <c r="V108" s="127">
        <v>16</v>
      </c>
      <c r="W108" s="30"/>
      <c r="X108" s="31"/>
      <c r="Y108" s="31"/>
      <c r="Z108" s="32"/>
      <c r="AA108" s="29"/>
      <c r="AB108" s="33"/>
      <c r="AC108" s="33"/>
      <c r="AD108" s="4"/>
      <c r="AH108" s="228"/>
      <c r="AI108" s="230"/>
      <c r="AJ108" s="229"/>
      <c r="AK108" s="230"/>
      <c r="AL108" s="324"/>
      <c r="AM108" s="328"/>
    </row>
    <row r="109" spans="1:39" ht="12.75">
      <c r="A109" s="233">
        <v>99</v>
      </c>
      <c r="B109" s="111" t="s">
        <v>125</v>
      </c>
      <c r="C109" s="613" t="s">
        <v>48</v>
      </c>
      <c r="D109" s="613" t="s">
        <v>47</v>
      </c>
      <c r="E109" s="154" t="str">
        <f t="shared" si="19"/>
        <v>No Criteria</v>
      </c>
      <c r="F109" s="245">
        <f t="shared" si="23"/>
      </c>
      <c r="G109" s="246">
        <f t="shared" si="24"/>
      </c>
      <c r="H109" s="247">
        <f t="shared" si="25"/>
      </c>
      <c r="I109" s="224">
        <f t="shared" si="26"/>
      </c>
      <c r="J109" s="422">
        <f t="shared" si="21"/>
      </c>
      <c r="K109" s="421">
        <f t="shared" si="22"/>
      </c>
      <c r="L109" s="113"/>
      <c r="M109" s="114"/>
      <c r="N109" s="115"/>
      <c r="O109" s="116"/>
      <c r="P109" s="105"/>
      <c r="Q109" s="113"/>
      <c r="R109" s="114"/>
      <c r="S109" s="115"/>
      <c r="T109" s="116"/>
      <c r="U109" s="105"/>
      <c r="V109" s="127"/>
      <c r="W109" s="30"/>
      <c r="X109" s="31"/>
      <c r="Y109" s="31"/>
      <c r="Z109" s="32"/>
      <c r="AA109" s="29"/>
      <c r="AB109" s="33"/>
      <c r="AC109" s="33"/>
      <c r="AD109" s="4"/>
      <c r="AH109" s="228"/>
      <c r="AI109" s="230"/>
      <c r="AJ109" s="229"/>
      <c r="AK109" s="230"/>
      <c r="AL109" s="324"/>
      <c r="AM109" s="328"/>
    </row>
    <row r="110" spans="1:39" ht="12.75">
      <c r="A110" s="233">
        <v>100</v>
      </c>
      <c r="B110" s="111" t="s">
        <v>126</v>
      </c>
      <c r="C110" s="613" t="s">
        <v>48</v>
      </c>
      <c r="D110" s="613" t="s">
        <v>47</v>
      </c>
      <c r="E110" s="155">
        <f t="shared" si="19"/>
        <v>11000</v>
      </c>
      <c r="F110" s="245" t="str">
        <f t="shared" si="23"/>
        <v>CTR HH</v>
      </c>
      <c r="G110" s="246">
        <f t="shared" si="24"/>
      </c>
      <c r="H110" s="247">
        <f t="shared" si="25"/>
      </c>
      <c r="I110" s="224">
        <f t="shared" si="26"/>
        <v>11000</v>
      </c>
      <c r="J110" s="422">
        <f t="shared" si="21"/>
      </c>
      <c r="K110" s="421">
        <f t="shared" si="22"/>
      </c>
      <c r="L110" s="113"/>
      <c r="M110" s="114"/>
      <c r="N110" s="115"/>
      <c r="O110" s="116"/>
      <c r="P110" s="105"/>
      <c r="Q110" s="113"/>
      <c r="R110" s="114"/>
      <c r="S110" s="115"/>
      <c r="T110" s="116"/>
      <c r="U110" s="105"/>
      <c r="V110" s="130">
        <v>11000</v>
      </c>
      <c r="W110" s="30"/>
      <c r="X110" s="31"/>
      <c r="Y110" s="31"/>
      <c r="Z110" s="32"/>
      <c r="AA110" s="29"/>
      <c r="AB110" s="33"/>
      <c r="AC110" s="33"/>
      <c r="AD110" s="4"/>
      <c r="AH110" s="228"/>
      <c r="AI110" s="230"/>
      <c r="AJ110" s="229"/>
      <c r="AK110" s="230"/>
      <c r="AL110" s="324"/>
      <c r="AM110" s="328"/>
    </row>
    <row r="111" spans="1:39" ht="12.75">
      <c r="A111" s="233">
        <v>101</v>
      </c>
      <c r="B111" s="111" t="s">
        <v>127</v>
      </c>
      <c r="C111" s="613" t="s">
        <v>48</v>
      </c>
      <c r="D111" s="613" t="s">
        <v>47</v>
      </c>
      <c r="E111" s="154" t="str">
        <f t="shared" si="19"/>
        <v>No Criteria</v>
      </c>
      <c r="F111" s="245">
        <f t="shared" si="23"/>
      </c>
      <c r="G111" s="246">
        <f t="shared" si="24"/>
      </c>
      <c r="H111" s="247">
        <f t="shared" si="25"/>
      </c>
      <c r="I111" s="224">
        <f t="shared" si="26"/>
      </c>
      <c r="J111" s="422">
        <f t="shared" si="21"/>
      </c>
      <c r="K111" s="421">
        <f t="shared" si="22"/>
      </c>
      <c r="L111" s="113"/>
      <c r="M111" s="114"/>
      <c r="N111" s="115"/>
      <c r="O111" s="116"/>
      <c r="P111" s="105"/>
      <c r="Q111" s="113"/>
      <c r="R111" s="114"/>
      <c r="S111" s="115"/>
      <c r="T111" s="116"/>
      <c r="U111" s="105"/>
      <c r="V111" s="131"/>
      <c r="W111" s="30"/>
      <c r="X111" s="31"/>
      <c r="Y111" s="31"/>
      <c r="Z111" s="32"/>
      <c r="AA111" s="29"/>
      <c r="AB111" s="33"/>
      <c r="AC111" s="33"/>
      <c r="AD111" s="4"/>
      <c r="AH111" s="228"/>
      <c r="AI111" s="230"/>
      <c r="AJ111" s="229"/>
      <c r="AK111" s="230"/>
      <c r="AL111" s="324"/>
      <c r="AM111" s="328"/>
    </row>
    <row r="112" spans="1:39" ht="12.75">
      <c r="A112" s="233">
        <v>102</v>
      </c>
      <c r="B112" s="111" t="s">
        <v>128</v>
      </c>
      <c r="C112" s="613" t="s">
        <v>48</v>
      </c>
      <c r="D112" s="613" t="s">
        <v>47</v>
      </c>
      <c r="E112" s="156">
        <f t="shared" si="19"/>
        <v>0.00014</v>
      </c>
      <c r="F112" s="245" t="str">
        <f t="shared" si="23"/>
        <v>CTR HH</v>
      </c>
      <c r="G112" s="246">
        <f t="shared" si="24"/>
        <v>1.3</v>
      </c>
      <c r="H112" s="247">
        <f t="shared" si="25"/>
      </c>
      <c r="I112" s="224">
        <f t="shared" si="26"/>
        <v>0.00014</v>
      </c>
      <c r="J112" s="422">
        <f t="shared" si="21"/>
      </c>
      <c r="K112" s="421">
        <f t="shared" si="22"/>
      </c>
      <c r="L112" s="113"/>
      <c r="M112" s="114"/>
      <c r="N112" s="115"/>
      <c r="O112" s="116"/>
      <c r="P112" s="105"/>
      <c r="Q112" s="113">
        <v>3</v>
      </c>
      <c r="R112" s="114"/>
      <c r="S112" s="115">
        <v>1.3</v>
      </c>
      <c r="T112" s="116"/>
      <c r="U112" s="105"/>
      <c r="V112" s="132">
        <v>0.00014</v>
      </c>
      <c r="W112" s="30"/>
      <c r="X112" s="31"/>
      <c r="Y112" s="31"/>
      <c r="Z112" s="32"/>
      <c r="AA112" s="29"/>
      <c r="AB112" s="33"/>
      <c r="AC112" s="33"/>
      <c r="AD112" s="4"/>
      <c r="AH112" s="228"/>
      <c r="AI112" s="230"/>
      <c r="AJ112" s="229"/>
      <c r="AK112" s="230"/>
      <c r="AL112" s="324"/>
      <c r="AM112" s="328"/>
    </row>
    <row r="113" spans="1:39" ht="12.75">
      <c r="A113" s="233">
        <v>103</v>
      </c>
      <c r="B113" s="111" t="s">
        <v>129</v>
      </c>
      <c r="C113" s="613" t="s">
        <v>48</v>
      </c>
      <c r="D113" s="613" t="s">
        <v>47</v>
      </c>
      <c r="E113" s="157">
        <f t="shared" si="19"/>
        <v>0.013</v>
      </c>
      <c r="F113" s="245" t="str">
        <f t="shared" si="23"/>
        <v>CTR HH</v>
      </c>
      <c r="G113" s="246">
        <f t="shared" si="24"/>
      </c>
      <c r="H113" s="247">
        <f t="shared" si="25"/>
      </c>
      <c r="I113" s="224">
        <f t="shared" si="26"/>
        <v>0.013</v>
      </c>
      <c r="J113" s="422">
        <f t="shared" si="21"/>
      </c>
      <c r="K113" s="421">
        <f t="shared" si="22"/>
      </c>
      <c r="L113" s="113"/>
      <c r="M113" s="114"/>
      <c r="N113" s="115"/>
      <c r="O113" s="116"/>
      <c r="P113" s="105"/>
      <c r="Q113" s="113"/>
      <c r="R113" s="114"/>
      <c r="S113" s="115"/>
      <c r="T113" s="116"/>
      <c r="U113" s="105"/>
      <c r="V113" s="133">
        <v>0.013</v>
      </c>
      <c r="W113" s="30"/>
      <c r="X113" s="31"/>
      <c r="Y113" s="31"/>
      <c r="Z113" s="32"/>
      <c r="AA113" s="29"/>
      <c r="AB113" s="33"/>
      <c r="AC113" s="33"/>
      <c r="AD113" s="4"/>
      <c r="AH113" s="228"/>
      <c r="AI113" s="230"/>
      <c r="AJ113" s="229"/>
      <c r="AK113" s="230"/>
      <c r="AL113" s="324"/>
      <c r="AM113" s="328"/>
    </row>
    <row r="114" spans="1:39" ht="12.75">
      <c r="A114" s="233">
        <v>104</v>
      </c>
      <c r="B114" s="111" t="s">
        <v>130</v>
      </c>
      <c r="C114" s="613" t="s">
        <v>48</v>
      </c>
      <c r="D114" s="613" t="s">
        <v>47</v>
      </c>
      <c r="E114" s="157">
        <f t="shared" si="19"/>
        <v>0.046</v>
      </c>
      <c r="F114" s="245" t="str">
        <f t="shared" si="23"/>
        <v>CTR HH</v>
      </c>
      <c r="G114" s="246">
        <f t="shared" si="24"/>
      </c>
      <c r="H114" s="247">
        <f t="shared" si="25"/>
      </c>
      <c r="I114" s="224">
        <f t="shared" si="26"/>
        <v>0.046</v>
      </c>
      <c r="J114" s="422">
        <f t="shared" si="21"/>
      </c>
      <c r="K114" s="421">
        <f t="shared" si="22"/>
      </c>
      <c r="L114" s="113"/>
      <c r="M114" s="114"/>
      <c r="N114" s="115"/>
      <c r="O114" s="116"/>
      <c r="P114" s="105"/>
      <c r="Q114" s="113"/>
      <c r="R114" s="114"/>
      <c r="S114" s="115"/>
      <c r="T114" s="116"/>
      <c r="U114" s="105"/>
      <c r="V114" s="133">
        <v>0.046</v>
      </c>
      <c r="W114" s="30"/>
      <c r="X114" s="31"/>
      <c r="Y114" s="31"/>
      <c r="Z114" s="32"/>
      <c r="AA114" s="29"/>
      <c r="AB114" s="33"/>
      <c r="AC114" s="33"/>
      <c r="AD114" s="4"/>
      <c r="AH114" s="228"/>
      <c r="AI114" s="230"/>
      <c r="AJ114" s="229"/>
      <c r="AK114" s="230"/>
      <c r="AL114" s="324"/>
      <c r="AM114" s="328"/>
    </row>
    <row r="115" spans="1:39" ht="12.75">
      <c r="A115" s="233">
        <v>105</v>
      </c>
      <c r="B115" s="111" t="s">
        <v>131</v>
      </c>
      <c r="C115" s="613" t="s">
        <v>48</v>
      </c>
      <c r="D115" s="613" t="s">
        <v>47</v>
      </c>
      <c r="E115" s="157">
        <f t="shared" si="19"/>
        <v>0.063</v>
      </c>
      <c r="F115" s="245" t="str">
        <f t="shared" si="23"/>
        <v>CTR HH</v>
      </c>
      <c r="G115" s="246">
        <f t="shared" si="24"/>
        <v>0.16</v>
      </c>
      <c r="H115" s="247">
        <f t="shared" si="25"/>
      </c>
      <c r="I115" s="224">
        <f t="shared" si="26"/>
        <v>0.063</v>
      </c>
      <c r="J115" s="422">
        <f t="shared" si="21"/>
      </c>
      <c r="K115" s="421">
        <f t="shared" si="22"/>
      </c>
      <c r="L115" s="113"/>
      <c r="M115" s="114"/>
      <c r="N115" s="115"/>
      <c r="O115" s="116"/>
      <c r="P115" s="105"/>
      <c r="Q115" s="113">
        <v>0.95</v>
      </c>
      <c r="R115" s="114"/>
      <c r="S115" s="115">
        <v>0.16</v>
      </c>
      <c r="T115" s="116"/>
      <c r="U115" s="105"/>
      <c r="V115" s="133">
        <v>0.063</v>
      </c>
      <c r="W115" s="30"/>
      <c r="X115" s="31"/>
      <c r="Y115" s="31"/>
      <c r="Z115" s="32"/>
      <c r="AA115" s="29"/>
      <c r="AB115" s="33"/>
      <c r="AC115" s="33"/>
      <c r="AD115" s="4"/>
      <c r="AH115" s="228"/>
      <c r="AI115" s="230"/>
      <c r="AJ115" s="229"/>
      <c r="AK115" s="230"/>
      <c r="AL115" s="324"/>
      <c r="AM115" s="328"/>
    </row>
    <row r="116" spans="1:39" ht="12.75">
      <c r="A116" s="233">
        <v>106</v>
      </c>
      <c r="B116" s="111" t="s">
        <v>132</v>
      </c>
      <c r="C116" s="613" t="s">
        <v>48</v>
      </c>
      <c r="D116" s="613" t="s">
        <v>47</v>
      </c>
      <c r="E116" s="154" t="str">
        <f t="shared" si="19"/>
        <v>No Criteria</v>
      </c>
      <c r="F116" s="245">
        <f t="shared" si="23"/>
      </c>
      <c r="G116" s="246">
        <f t="shared" si="24"/>
      </c>
      <c r="H116" s="247">
        <f t="shared" si="25"/>
      </c>
      <c r="I116" s="224">
        <f t="shared" si="26"/>
      </c>
      <c r="J116" s="422">
        <f t="shared" si="21"/>
      </c>
      <c r="K116" s="421">
        <f t="shared" si="22"/>
      </c>
      <c r="L116" s="113"/>
      <c r="M116" s="114"/>
      <c r="N116" s="115"/>
      <c r="O116" s="116"/>
      <c r="P116" s="105"/>
      <c r="Q116" s="113"/>
      <c r="R116" s="114"/>
      <c r="S116" s="115"/>
      <c r="T116" s="116"/>
      <c r="U116" s="105"/>
      <c r="V116" s="131"/>
      <c r="W116" s="30"/>
      <c r="X116" s="31"/>
      <c r="Y116" s="31"/>
      <c r="Z116" s="32"/>
      <c r="AA116" s="29"/>
      <c r="AB116" s="33"/>
      <c r="AC116" s="33"/>
      <c r="AD116" s="4"/>
      <c r="AH116" s="228"/>
      <c r="AI116" s="230"/>
      <c r="AJ116" s="229"/>
      <c r="AK116" s="230"/>
      <c r="AL116" s="324"/>
      <c r="AM116" s="328"/>
    </row>
    <row r="117" spans="1:39" ht="12.75">
      <c r="A117" s="233">
        <v>107</v>
      </c>
      <c r="B117" s="111" t="s">
        <v>208</v>
      </c>
      <c r="C117" s="613" t="s">
        <v>48</v>
      </c>
      <c r="D117" s="613" t="s">
        <v>47</v>
      </c>
      <c r="E117" s="156">
        <f t="shared" si="19"/>
        <v>0.00059</v>
      </c>
      <c r="F117" s="245" t="str">
        <f t="shared" si="23"/>
        <v>CTR HH</v>
      </c>
      <c r="G117" s="246">
        <f t="shared" si="24"/>
        <v>0.09</v>
      </c>
      <c r="H117" s="247">
        <f t="shared" si="25"/>
        <v>0.004</v>
      </c>
      <c r="I117" s="224">
        <f t="shared" si="26"/>
        <v>0.00059</v>
      </c>
      <c r="J117" s="422">
        <f t="shared" si="21"/>
      </c>
      <c r="K117" s="421">
        <f t="shared" si="22"/>
      </c>
      <c r="L117" s="113"/>
      <c r="M117" s="114"/>
      <c r="N117" s="115"/>
      <c r="O117" s="116"/>
      <c r="P117" s="105"/>
      <c r="Q117" s="113">
        <v>2.4</v>
      </c>
      <c r="R117" s="114">
        <v>0.0043</v>
      </c>
      <c r="S117" s="115">
        <v>0.09</v>
      </c>
      <c r="T117" s="116">
        <v>0.004</v>
      </c>
      <c r="U117" s="107"/>
      <c r="V117" s="132">
        <v>0.00059</v>
      </c>
      <c r="W117" s="30"/>
      <c r="X117" s="31"/>
      <c r="Y117" s="31"/>
      <c r="Z117" s="32"/>
      <c r="AA117" s="29"/>
      <c r="AB117" s="33"/>
      <c r="AC117" s="33"/>
      <c r="AD117" s="4"/>
      <c r="AH117" s="228"/>
      <c r="AI117" s="230"/>
      <c r="AJ117" s="229"/>
      <c r="AK117" s="230"/>
      <c r="AL117" s="327"/>
      <c r="AM117" s="328"/>
    </row>
    <row r="118" spans="1:39" ht="12.75">
      <c r="A118" s="233">
        <v>108</v>
      </c>
      <c r="B118" s="111" t="s">
        <v>209</v>
      </c>
      <c r="C118" s="613" t="s">
        <v>48</v>
      </c>
      <c r="D118" s="613" t="s">
        <v>47</v>
      </c>
      <c r="E118" s="156">
        <f t="shared" si="19"/>
        <v>0.00059</v>
      </c>
      <c r="F118" s="245" t="str">
        <f t="shared" si="23"/>
        <v>CTR HH</v>
      </c>
      <c r="G118" s="246">
        <f t="shared" si="24"/>
        <v>0.13</v>
      </c>
      <c r="H118" s="247">
        <f t="shared" si="25"/>
        <v>0.001</v>
      </c>
      <c r="I118" s="224">
        <f t="shared" si="26"/>
        <v>0.00059</v>
      </c>
      <c r="J118" s="422">
        <f t="shared" si="21"/>
      </c>
      <c r="K118" s="421">
        <f t="shared" si="22"/>
      </c>
      <c r="L118" s="113"/>
      <c r="M118" s="114"/>
      <c r="N118" s="115"/>
      <c r="O118" s="116"/>
      <c r="P118" s="105"/>
      <c r="Q118" s="113">
        <v>1.1</v>
      </c>
      <c r="R118" s="114">
        <v>0.001</v>
      </c>
      <c r="S118" s="115">
        <v>0.13</v>
      </c>
      <c r="T118" s="116">
        <v>0.001</v>
      </c>
      <c r="U118" s="107"/>
      <c r="V118" s="132">
        <v>0.00059</v>
      </c>
      <c r="W118" s="30"/>
      <c r="X118" s="31"/>
      <c r="Y118" s="31"/>
      <c r="Z118" s="32"/>
      <c r="AA118" s="29"/>
      <c r="AB118" s="33"/>
      <c r="AC118" s="33"/>
      <c r="AD118" s="4"/>
      <c r="AH118" s="228"/>
      <c r="AI118" s="230"/>
      <c r="AJ118" s="229"/>
      <c r="AK118" s="230"/>
      <c r="AL118" s="327"/>
      <c r="AM118" s="328"/>
    </row>
    <row r="119" spans="1:39" ht="12.75">
      <c r="A119" s="233">
        <v>109</v>
      </c>
      <c r="B119" s="111" t="s">
        <v>210</v>
      </c>
      <c r="C119" s="613" t="s">
        <v>48</v>
      </c>
      <c r="D119" s="613" t="s">
        <v>47</v>
      </c>
      <c r="E119" s="156">
        <f t="shared" si="19"/>
        <v>0.00059</v>
      </c>
      <c r="F119" s="245" t="str">
        <f t="shared" si="23"/>
        <v>CTR HH</v>
      </c>
      <c r="G119" s="246">
        <f t="shared" si="24"/>
      </c>
      <c r="H119" s="247">
        <f t="shared" si="25"/>
      </c>
      <c r="I119" s="224">
        <f t="shared" si="26"/>
        <v>0.00059</v>
      </c>
      <c r="J119" s="422">
        <f t="shared" si="21"/>
      </c>
      <c r="K119" s="421">
        <f t="shared" si="22"/>
      </c>
      <c r="L119" s="113"/>
      <c r="M119" s="114"/>
      <c r="N119" s="115"/>
      <c r="O119" s="116"/>
      <c r="P119" s="105"/>
      <c r="Q119" s="113"/>
      <c r="R119" s="114"/>
      <c r="S119" s="115"/>
      <c r="T119" s="116"/>
      <c r="U119" s="107"/>
      <c r="V119" s="132">
        <v>0.00059</v>
      </c>
      <c r="W119" s="30"/>
      <c r="X119" s="31"/>
      <c r="Y119" s="31"/>
      <c r="Z119" s="32"/>
      <c r="AA119" s="29"/>
      <c r="AB119" s="33"/>
      <c r="AC119" s="33"/>
      <c r="AD119" s="4"/>
      <c r="AH119" s="228"/>
      <c r="AI119" s="230"/>
      <c r="AJ119" s="229"/>
      <c r="AK119" s="230"/>
      <c r="AL119" s="324"/>
      <c r="AM119" s="328"/>
    </row>
    <row r="120" spans="1:39" ht="12.75">
      <c r="A120" s="233">
        <v>110</v>
      </c>
      <c r="B120" s="111" t="s">
        <v>211</v>
      </c>
      <c r="C120" s="613" t="s">
        <v>48</v>
      </c>
      <c r="D120" s="613" t="s">
        <v>47</v>
      </c>
      <c r="E120" s="156">
        <f t="shared" si="19"/>
        <v>0.00084</v>
      </c>
      <c r="F120" s="245" t="str">
        <f t="shared" si="23"/>
        <v>CTR HH</v>
      </c>
      <c r="G120" s="246">
        <f t="shared" si="24"/>
      </c>
      <c r="H120" s="247">
        <f t="shared" si="25"/>
      </c>
      <c r="I120" s="224">
        <f t="shared" si="26"/>
        <v>0.00084</v>
      </c>
      <c r="J120" s="422">
        <f t="shared" si="21"/>
      </c>
      <c r="K120" s="421">
        <f t="shared" si="22"/>
      </c>
      <c r="L120" s="113"/>
      <c r="M120" s="114"/>
      <c r="N120" s="115"/>
      <c r="O120" s="116"/>
      <c r="P120" s="105"/>
      <c r="Q120" s="113"/>
      <c r="R120" s="114"/>
      <c r="S120" s="115"/>
      <c r="T120" s="116"/>
      <c r="U120" s="107"/>
      <c r="V120" s="132">
        <v>0.00084</v>
      </c>
      <c r="W120" s="30"/>
      <c r="X120" s="31"/>
      <c r="Y120" s="31"/>
      <c r="Z120" s="32"/>
      <c r="AA120" s="29"/>
      <c r="AB120" s="33"/>
      <c r="AC120" s="33"/>
      <c r="AD120" s="4"/>
      <c r="AH120" s="228"/>
      <c r="AI120" s="230"/>
      <c r="AJ120" s="229"/>
      <c r="AK120" s="230"/>
      <c r="AL120" s="324"/>
      <c r="AM120" s="328"/>
    </row>
    <row r="121" spans="1:39" ht="12.75">
      <c r="A121" s="233">
        <v>111</v>
      </c>
      <c r="B121" s="111" t="s">
        <v>212</v>
      </c>
      <c r="C121" s="613" t="s">
        <v>48</v>
      </c>
      <c r="D121" s="613" t="s">
        <v>47</v>
      </c>
      <c r="E121" s="156">
        <f t="shared" si="19"/>
        <v>0.00014</v>
      </c>
      <c r="F121" s="245" t="str">
        <f t="shared" si="23"/>
        <v>CTR HH</v>
      </c>
      <c r="G121" s="246">
        <f t="shared" si="24"/>
        <v>0.24</v>
      </c>
      <c r="H121" s="247">
        <f t="shared" si="25"/>
        <v>0.0019</v>
      </c>
      <c r="I121" s="224">
        <f t="shared" si="26"/>
        <v>0.00014</v>
      </c>
      <c r="J121" s="422">
        <f t="shared" si="21"/>
      </c>
      <c r="K121" s="421">
        <f t="shared" si="22"/>
      </c>
      <c r="L121" s="113"/>
      <c r="M121" s="114"/>
      <c r="N121" s="115"/>
      <c r="O121" s="116"/>
      <c r="P121" s="105"/>
      <c r="Q121" s="113">
        <v>0.24</v>
      </c>
      <c r="R121" s="114">
        <v>0.056</v>
      </c>
      <c r="S121" s="115">
        <v>0.71</v>
      </c>
      <c r="T121" s="116">
        <v>0.0019</v>
      </c>
      <c r="U121" s="107"/>
      <c r="V121" s="132">
        <v>0.00014</v>
      </c>
      <c r="W121" s="30"/>
      <c r="X121" s="31"/>
      <c r="Y121" s="31"/>
      <c r="Z121" s="32"/>
      <c r="AA121" s="29"/>
      <c r="AB121" s="33"/>
      <c r="AC121" s="33"/>
      <c r="AD121" s="4"/>
      <c r="AH121" s="228"/>
      <c r="AI121" s="230"/>
      <c r="AJ121" s="229"/>
      <c r="AK121" s="230"/>
      <c r="AL121" s="327"/>
      <c r="AM121" s="328"/>
    </row>
    <row r="122" spans="1:39" ht="12.75">
      <c r="A122" s="233">
        <v>112</v>
      </c>
      <c r="B122" s="111" t="s">
        <v>133</v>
      </c>
      <c r="C122" s="613" t="s">
        <v>48</v>
      </c>
      <c r="D122" s="613" t="s">
        <v>47</v>
      </c>
      <c r="E122" s="158">
        <f t="shared" si="19"/>
        <v>0.0087</v>
      </c>
      <c r="F122" s="245" t="str">
        <f t="shared" si="23"/>
        <v>CTR SW</v>
      </c>
      <c r="G122" s="246">
        <f t="shared" si="24"/>
        <v>0.034</v>
      </c>
      <c r="H122" s="247">
        <f t="shared" si="25"/>
        <v>0.0087</v>
      </c>
      <c r="I122" s="224">
        <f t="shared" si="26"/>
        <v>240</v>
      </c>
      <c r="J122" s="422">
        <f t="shared" si="21"/>
      </c>
      <c r="K122" s="421">
        <f t="shared" si="22"/>
      </c>
      <c r="L122" s="113"/>
      <c r="M122" s="114"/>
      <c r="N122" s="115"/>
      <c r="O122" s="116"/>
      <c r="P122" s="105"/>
      <c r="Q122" s="113">
        <v>0.22</v>
      </c>
      <c r="R122" s="114">
        <v>0.056</v>
      </c>
      <c r="S122" s="115">
        <v>0.034</v>
      </c>
      <c r="T122" s="116">
        <v>0.0087</v>
      </c>
      <c r="U122" s="105"/>
      <c r="V122" s="127">
        <v>240</v>
      </c>
      <c r="W122" s="30"/>
      <c r="X122" s="31"/>
      <c r="Y122" s="31"/>
      <c r="Z122" s="32"/>
      <c r="AA122" s="29"/>
      <c r="AB122" s="33"/>
      <c r="AC122" s="33"/>
      <c r="AD122" s="4"/>
      <c r="AH122" s="228"/>
      <c r="AI122" s="230"/>
      <c r="AJ122" s="229"/>
      <c r="AK122" s="230"/>
      <c r="AL122" s="324"/>
      <c r="AM122" s="328"/>
    </row>
    <row r="123" spans="1:39" ht="12.75">
      <c r="A123" s="233">
        <v>113</v>
      </c>
      <c r="B123" s="111" t="s">
        <v>213</v>
      </c>
      <c r="C123" s="613" t="s">
        <v>48</v>
      </c>
      <c r="D123" s="613" t="s">
        <v>47</v>
      </c>
      <c r="E123" s="158">
        <f t="shared" si="19"/>
        <v>0.0087</v>
      </c>
      <c r="F123" s="245" t="str">
        <f t="shared" si="23"/>
        <v>CTR SW</v>
      </c>
      <c r="G123" s="246">
        <f t="shared" si="24"/>
        <v>0.034</v>
      </c>
      <c r="H123" s="247">
        <f t="shared" si="25"/>
        <v>0.0087</v>
      </c>
      <c r="I123" s="224">
        <f t="shared" si="26"/>
        <v>240</v>
      </c>
      <c r="J123" s="422">
        <f t="shared" si="21"/>
      </c>
      <c r="K123" s="421">
        <f t="shared" si="22"/>
      </c>
      <c r="L123" s="113"/>
      <c r="M123" s="114"/>
      <c r="N123" s="115"/>
      <c r="O123" s="116"/>
      <c r="P123" s="105"/>
      <c r="Q123" s="113">
        <v>0.22</v>
      </c>
      <c r="R123" s="114">
        <v>0.056</v>
      </c>
      <c r="S123" s="115">
        <v>0.034</v>
      </c>
      <c r="T123" s="116">
        <v>0.0087</v>
      </c>
      <c r="U123" s="105"/>
      <c r="V123" s="127">
        <v>240</v>
      </c>
      <c r="W123" s="30"/>
      <c r="X123" s="31"/>
      <c r="Y123" s="31"/>
      <c r="Z123" s="32"/>
      <c r="AA123" s="29"/>
      <c r="AB123" s="33"/>
      <c r="AC123" s="33"/>
      <c r="AD123" s="4"/>
      <c r="AH123" s="228"/>
      <c r="AI123" s="230"/>
      <c r="AJ123" s="229"/>
      <c r="AK123" s="230"/>
      <c r="AL123" s="324"/>
      <c r="AM123" s="328"/>
    </row>
    <row r="124" spans="1:39" ht="12.75">
      <c r="A124" s="233">
        <v>114</v>
      </c>
      <c r="B124" s="111" t="s">
        <v>134</v>
      </c>
      <c r="C124" s="613" t="s">
        <v>48</v>
      </c>
      <c r="D124" s="613" t="s">
        <v>47</v>
      </c>
      <c r="E124" s="152">
        <f t="shared" si="19"/>
        <v>240</v>
      </c>
      <c r="F124" s="245" t="str">
        <f t="shared" si="23"/>
        <v>CTR HH</v>
      </c>
      <c r="G124" s="246">
        <f t="shared" si="24"/>
      </c>
      <c r="H124" s="247">
        <f t="shared" si="25"/>
      </c>
      <c r="I124" s="224">
        <f t="shared" si="26"/>
        <v>240</v>
      </c>
      <c r="J124" s="422">
        <f t="shared" si="21"/>
      </c>
      <c r="K124" s="421">
        <f t="shared" si="22"/>
      </c>
      <c r="L124" s="113"/>
      <c r="M124" s="114"/>
      <c r="N124" s="115"/>
      <c r="O124" s="116"/>
      <c r="P124" s="105"/>
      <c r="Q124" s="113"/>
      <c r="R124" s="114"/>
      <c r="S124" s="115"/>
      <c r="T124" s="116"/>
      <c r="U124" s="105"/>
      <c r="V124" s="127">
        <v>240</v>
      </c>
      <c r="W124" s="30"/>
      <c r="X124" s="31"/>
      <c r="Y124" s="31"/>
      <c r="Z124" s="32"/>
      <c r="AA124" s="29"/>
      <c r="AB124" s="33"/>
      <c r="AC124" s="33"/>
      <c r="AD124" s="4"/>
      <c r="AH124" s="228"/>
      <c r="AI124" s="230"/>
      <c r="AJ124" s="229"/>
      <c r="AK124" s="230"/>
      <c r="AL124" s="324"/>
      <c r="AM124" s="328"/>
    </row>
    <row r="125" spans="1:39" ht="12.75">
      <c r="A125" s="233">
        <v>115</v>
      </c>
      <c r="B125" s="111" t="s">
        <v>135</v>
      </c>
      <c r="C125" s="613" t="s">
        <v>48</v>
      </c>
      <c r="D125" s="613" t="s">
        <v>47</v>
      </c>
      <c r="E125" s="158">
        <f t="shared" si="19"/>
        <v>0.0023</v>
      </c>
      <c r="F125" s="245" t="str">
        <f t="shared" si="23"/>
        <v>CTR SW</v>
      </c>
      <c r="G125" s="246">
        <f t="shared" si="24"/>
        <v>0.037</v>
      </c>
      <c r="H125" s="247">
        <f t="shared" si="25"/>
        <v>0.0023</v>
      </c>
      <c r="I125" s="224">
        <f t="shared" si="26"/>
        <v>0.81</v>
      </c>
      <c r="J125" s="422">
        <f t="shared" si="21"/>
      </c>
      <c r="K125" s="421">
        <f t="shared" si="22"/>
      </c>
      <c r="L125" s="113"/>
      <c r="M125" s="114"/>
      <c r="N125" s="115"/>
      <c r="O125" s="116"/>
      <c r="P125" s="105"/>
      <c r="Q125" s="113">
        <v>0.086</v>
      </c>
      <c r="R125" s="114">
        <v>0.036</v>
      </c>
      <c r="S125" s="115">
        <v>0.037</v>
      </c>
      <c r="T125" s="116">
        <v>0.0023</v>
      </c>
      <c r="U125" s="105"/>
      <c r="V125" s="128">
        <v>0.81</v>
      </c>
      <c r="W125" s="30"/>
      <c r="X125" s="31"/>
      <c r="Y125" s="31"/>
      <c r="Z125" s="32"/>
      <c r="AA125" s="29"/>
      <c r="AB125" s="33"/>
      <c r="AC125" s="33"/>
      <c r="AD125" s="4"/>
      <c r="AH125" s="228"/>
      <c r="AI125" s="230"/>
      <c r="AJ125" s="229"/>
      <c r="AK125" s="230"/>
      <c r="AL125" s="324"/>
      <c r="AM125" s="328"/>
    </row>
    <row r="126" spans="1:39" ht="12.75">
      <c r="A126" s="233">
        <v>116</v>
      </c>
      <c r="B126" s="111" t="s">
        <v>136</v>
      </c>
      <c r="C126" s="613" t="s">
        <v>48</v>
      </c>
      <c r="D126" s="613" t="s">
        <v>47</v>
      </c>
      <c r="E126" s="149">
        <f t="shared" si="19"/>
        <v>0.81</v>
      </c>
      <c r="F126" s="245" t="str">
        <f t="shared" si="23"/>
        <v>CTR HH</v>
      </c>
      <c r="G126" s="246">
        <f t="shared" si="24"/>
      </c>
      <c r="H126" s="247">
        <f t="shared" si="25"/>
      </c>
      <c r="I126" s="224">
        <f t="shared" si="26"/>
        <v>0.81</v>
      </c>
      <c r="J126" s="422">
        <f t="shared" si="21"/>
      </c>
      <c r="K126" s="421">
        <f t="shared" si="22"/>
      </c>
      <c r="L126" s="113"/>
      <c r="M126" s="114"/>
      <c r="N126" s="115"/>
      <c r="O126" s="116"/>
      <c r="P126" s="105"/>
      <c r="Q126" s="113"/>
      <c r="R126" s="114"/>
      <c r="S126" s="115"/>
      <c r="T126" s="116"/>
      <c r="U126" s="105"/>
      <c r="V126" s="128">
        <v>0.81</v>
      </c>
      <c r="W126" s="30"/>
      <c r="X126" s="31"/>
      <c r="Y126" s="31"/>
      <c r="Z126" s="32"/>
      <c r="AA126" s="29"/>
      <c r="AB126" s="33"/>
      <c r="AC126" s="33"/>
      <c r="AD126" s="4"/>
      <c r="AH126" s="228"/>
      <c r="AI126" s="230"/>
      <c r="AJ126" s="229"/>
      <c r="AK126" s="230"/>
      <c r="AL126" s="324"/>
      <c r="AM126" s="328"/>
    </row>
    <row r="127" spans="1:39" ht="12.75">
      <c r="A127" s="233">
        <v>117</v>
      </c>
      <c r="B127" s="111" t="s">
        <v>137</v>
      </c>
      <c r="C127" s="613" t="s">
        <v>48</v>
      </c>
      <c r="D127" s="613" t="s">
        <v>47</v>
      </c>
      <c r="E127" s="156">
        <f t="shared" si="19"/>
        <v>0.00021</v>
      </c>
      <c r="F127" s="245" t="str">
        <f t="shared" si="23"/>
        <v>CTR HH</v>
      </c>
      <c r="G127" s="246">
        <f t="shared" si="24"/>
        <v>0.053</v>
      </c>
      <c r="H127" s="247">
        <f t="shared" si="25"/>
        <v>0.0036</v>
      </c>
      <c r="I127" s="224">
        <f t="shared" si="26"/>
        <v>0.00021</v>
      </c>
      <c r="J127" s="422">
        <f t="shared" si="21"/>
      </c>
      <c r="K127" s="421">
        <f t="shared" si="22"/>
      </c>
      <c r="L127" s="113"/>
      <c r="M127" s="114"/>
      <c r="N127" s="115"/>
      <c r="O127" s="116"/>
      <c r="P127" s="105"/>
      <c r="Q127" s="113">
        <v>0.52</v>
      </c>
      <c r="R127" s="114">
        <v>0.0038</v>
      </c>
      <c r="S127" s="115">
        <v>0.053</v>
      </c>
      <c r="T127" s="116">
        <v>0.0036</v>
      </c>
      <c r="U127" s="105"/>
      <c r="V127" s="132">
        <v>0.00021</v>
      </c>
      <c r="W127" s="30"/>
      <c r="X127" s="31"/>
      <c r="Y127" s="31"/>
      <c r="Z127" s="32"/>
      <c r="AA127" s="29"/>
      <c r="AB127" s="33"/>
      <c r="AC127" s="33"/>
      <c r="AD127" s="4"/>
      <c r="AH127" s="228"/>
      <c r="AI127" s="230"/>
      <c r="AJ127" s="229"/>
      <c r="AK127" s="230"/>
      <c r="AL127" s="324"/>
      <c r="AM127" s="328"/>
    </row>
    <row r="128" spans="1:39" ht="12.75">
      <c r="A128" s="233">
        <v>118</v>
      </c>
      <c r="B128" s="111" t="s">
        <v>214</v>
      </c>
      <c r="C128" s="613" t="s">
        <v>48</v>
      </c>
      <c r="D128" s="613" t="s">
        <v>47</v>
      </c>
      <c r="E128" s="156">
        <f t="shared" si="19"/>
        <v>0.00011</v>
      </c>
      <c r="F128" s="245" t="str">
        <f t="shared" si="23"/>
        <v>CTR HH</v>
      </c>
      <c r="G128" s="246">
        <f t="shared" si="24"/>
        <v>0.053</v>
      </c>
      <c r="H128" s="247">
        <f t="shared" si="25"/>
        <v>0.0036</v>
      </c>
      <c r="I128" s="224">
        <f t="shared" si="26"/>
        <v>0.00011</v>
      </c>
      <c r="J128" s="422">
        <f t="shared" si="21"/>
      </c>
      <c r="K128" s="421">
        <f t="shared" si="22"/>
      </c>
      <c r="L128" s="113"/>
      <c r="M128" s="114"/>
      <c r="N128" s="115"/>
      <c r="O128" s="116"/>
      <c r="P128" s="105"/>
      <c r="Q128" s="113">
        <v>0.52</v>
      </c>
      <c r="R128" s="114">
        <v>0.0038</v>
      </c>
      <c r="S128" s="115">
        <v>0.053</v>
      </c>
      <c r="T128" s="116">
        <v>0.0036</v>
      </c>
      <c r="U128" s="107"/>
      <c r="V128" s="132">
        <v>0.00011</v>
      </c>
      <c r="W128" s="30"/>
      <c r="X128" s="31"/>
      <c r="Y128" s="31"/>
      <c r="Z128" s="32"/>
      <c r="AA128" s="29"/>
      <c r="AB128" s="33"/>
      <c r="AC128" s="33"/>
      <c r="AD128" s="4"/>
      <c r="AH128" s="228"/>
      <c r="AI128" s="230"/>
      <c r="AJ128" s="229"/>
      <c r="AK128" s="230"/>
      <c r="AL128" s="324"/>
      <c r="AM128" s="328"/>
    </row>
    <row r="129" spans="1:39" ht="12.75">
      <c r="A129" s="233">
        <v>119</v>
      </c>
      <c r="B129" s="111" t="s">
        <v>425</v>
      </c>
      <c r="C129" s="613" t="s">
        <v>47</v>
      </c>
      <c r="D129" s="613" t="s">
        <v>47</v>
      </c>
      <c r="E129" s="156">
        <f t="shared" si="19"/>
        <v>0.00017</v>
      </c>
      <c r="F129" s="245" t="str">
        <f t="shared" si="23"/>
        <v>CTR HH</v>
      </c>
      <c r="G129" s="246">
        <f t="shared" si="24"/>
      </c>
      <c r="H129" s="247">
        <f t="shared" si="25"/>
        <v>0.014</v>
      </c>
      <c r="I129" s="224">
        <f t="shared" si="26"/>
        <v>0.00017</v>
      </c>
      <c r="J129" s="422">
        <f t="shared" si="21"/>
      </c>
      <c r="K129" s="421">
        <f t="shared" si="22"/>
      </c>
      <c r="L129" s="113"/>
      <c r="M129" s="114"/>
      <c r="N129" s="115"/>
      <c r="O129" s="116"/>
      <c r="P129" s="107"/>
      <c r="Q129" s="113"/>
      <c r="R129" s="114">
        <v>0.014</v>
      </c>
      <c r="S129" s="115"/>
      <c r="T129" s="116">
        <v>0.03</v>
      </c>
      <c r="U129" s="107"/>
      <c r="V129" s="132">
        <v>0.00017</v>
      </c>
      <c r="W129" s="30"/>
      <c r="X129" s="31"/>
      <c r="Y129" s="31"/>
      <c r="Z129" s="32"/>
      <c r="AA129" s="29"/>
      <c r="AB129" s="33"/>
      <c r="AC129" s="33"/>
      <c r="AD129" s="4"/>
      <c r="AH129" s="228"/>
      <c r="AI129" s="230"/>
      <c r="AJ129" s="229"/>
      <c r="AK129" s="230"/>
      <c r="AL129" s="327"/>
      <c r="AM129" s="328"/>
    </row>
    <row r="130" spans="1:39" ht="12.75">
      <c r="A130" s="427">
        <v>125.5</v>
      </c>
      <c r="B130" s="111" t="s">
        <v>434</v>
      </c>
      <c r="C130" s="613" t="s">
        <v>47</v>
      </c>
      <c r="D130" s="613" t="s">
        <v>47</v>
      </c>
      <c r="E130" s="156">
        <f>IF(MIN(G130:I130)&gt;0,MIN(G130:I130),"No Criteria")</f>
        <v>0.00017</v>
      </c>
      <c r="F130" s="245" t="str">
        <f>IF(MIN(J130:K130)=E130,"BP SSO",IF(MIN(L130:M130)=E130,"BP FW",IF(MIN(N130:O130)=E130,"BP SW",IF(P130=E130,"BP HH",IF(MIN(Q130:R130)=E130,"CTR FW",IF(MIN(S130:T130)=E130,"CTR SW",IF(MIN(U130:V130)=E130,"CTR HH","")))))))</f>
        <v>CTR HH</v>
      </c>
      <c r="G130" s="246">
        <f>IF(J130&lt;&gt;"",J130,IF(zSSORegion&lt;&gt;"South Dumbarton Bridge",IF(zSalinity="Freshwater",IF(MIN(L130,Q130)&gt;0,MIN(L130,Q130),""),IF(zSalinity="Saltwater",IF(MIN(N130,S130)&gt;0,MIN(N130,S130),""),IF(MIN(L130,N130,Q130,S130)&gt;0,MIN(L130,N130,Q130,S130),""))),IF(zSalinity="Freshwater",IF(Q130&gt;0,Q130,""),IF(zSalinity="Saltwater",IF(S130&gt;0,S130,""),IF(MIN(Q130,S130)&gt;0,MIN(Q130,S130),"")))))</f>
      </c>
      <c r="H130" s="247">
        <f>IF(K130&lt;&gt;"",K130,IF(zSSORegion&lt;&gt;"South Dumbarton Bridge",IF(zSalinity="Freshwater",IF(MIN(M130,R130)&gt;0,MIN(M130,R130),""),IF(zSalinity="Saltwater",IF(MIN(O130,T130)&gt;0,MIN(O130,T130),""),IF(MIN(M130,O130,R130,T130)&gt;0,MIN(M130,O130,R130,T130),""))),IF(zSalinity="Freshwater",IF(R130&gt;0,R130,""),IF(zSalinity="Saltwater",IF(T130&gt;0,T130,""),IF(MIN(R130,T130)&gt;0,MIN(R130,T130),"")))))</f>
        <v>0.014</v>
      </c>
      <c r="I130" s="224">
        <f>IF(zSSORegion&lt;&gt;"South Dumbarton Bridge",IF(MIN(P130,U130,V130)&gt;0,MIN(P130,U130,V130),""),IF(MIN(U130,V130)&gt;0,MIN(U130,V130),""))</f>
        <v>0.00017</v>
      </c>
      <c r="J130" s="422">
        <f>IF(AND(zSSORegion="South Dumbarton Bridge",AH130&lt;&gt;""),AH130,IF(AND(zSSORegion="North Dumbarton Bridge",AJ130&lt;&gt;""),AJ130,""))</f>
      </c>
      <c r="K130" s="421">
        <f>IF(AND(zSSORegion="South Dumbarton Bridge",AI130&lt;&gt;""),AI130,IF(AND(zSSORegion="North Dumbarton Bridge",AK130&lt;&gt;""),AK130,""))</f>
      </c>
      <c r="L130" s="113"/>
      <c r="M130" s="114"/>
      <c r="N130" s="115"/>
      <c r="O130" s="116"/>
      <c r="P130" s="107"/>
      <c r="Q130" s="113"/>
      <c r="R130" s="114">
        <v>0.014</v>
      </c>
      <c r="S130" s="115"/>
      <c r="T130" s="116">
        <v>0.03</v>
      </c>
      <c r="U130" s="107"/>
      <c r="V130" s="132">
        <v>0.00017</v>
      </c>
      <c r="W130" s="30"/>
      <c r="X130" s="31"/>
      <c r="Y130" s="31"/>
      <c r="Z130" s="32"/>
      <c r="AA130" s="29"/>
      <c r="AB130" s="33"/>
      <c r="AC130" s="33"/>
      <c r="AD130" s="4"/>
      <c r="AH130" s="228"/>
      <c r="AI130" s="230"/>
      <c r="AJ130" s="229"/>
      <c r="AK130" s="230"/>
      <c r="AL130" s="327"/>
      <c r="AM130" s="328"/>
    </row>
    <row r="131" spans="1:39" ht="12" customHeight="1">
      <c r="A131" s="233">
        <v>126</v>
      </c>
      <c r="B131" s="111" t="s">
        <v>138</v>
      </c>
      <c r="C131" s="613" t="s">
        <v>48</v>
      </c>
      <c r="D131" s="613" t="s">
        <v>47</v>
      </c>
      <c r="E131" s="156">
        <f t="shared" si="19"/>
        <v>0.0002</v>
      </c>
      <c r="F131" s="245" t="str">
        <f t="shared" si="23"/>
        <v>CTR FW</v>
      </c>
      <c r="G131" s="246">
        <f t="shared" si="24"/>
        <v>0.21</v>
      </c>
      <c r="H131" s="247">
        <f t="shared" si="25"/>
        <v>0.0002</v>
      </c>
      <c r="I131" s="224">
        <f t="shared" si="26"/>
        <v>0.00075</v>
      </c>
      <c r="J131" s="422">
        <f t="shared" si="21"/>
      </c>
      <c r="K131" s="421">
        <f t="shared" si="22"/>
      </c>
      <c r="L131" s="113"/>
      <c r="M131" s="114"/>
      <c r="N131" s="115"/>
      <c r="O131" s="116"/>
      <c r="P131" s="105"/>
      <c r="Q131" s="113">
        <v>0.73</v>
      </c>
      <c r="R131" s="114">
        <v>0.0002</v>
      </c>
      <c r="S131" s="115">
        <v>0.21</v>
      </c>
      <c r="T131" s="116">
        <v>0.0002</v>
      </c>
      <c r="U131" s="105"/>
      <c r="V131" s="132">
        <v>0.00075</v>
      </c>
      <c r="W131" s="30"/>
      <c r="X131" s="31"/>
      <c r="Y131" s="31"/>
      <c r="Z131" s="32"/>
      <c r="AA131" s="29"/>
      <c r="AB131" s="33"/>
      <c r="AC131" s="33"/>
      <c r="AD131" s="4"/>
      <c r="AH131" s="228"/>
      <c r="AI131" s="230"/>
      <c r="AJ131" s="229"/>
      <c r="AK131" s="230"/>
      <c r="AL131" s="324"/>
      <c r="AM131" s="328"/>
    </row>
    <row r="132" spans="1:39" ht="12.75">
      <c r="A132" s="288">
        <v>1001</v>
      </c>
      <c r="B132" s="111" t="s">
        <v>215</v>
      </c>
      <c r="C132" s="613" t="s">
        <v>48</v>
      </c>
      <c r="D132" s="613" t="s">
        <v>47</v>
      </c>
      <c r="E132" s="252">
        <f t="shared" si="19"/>
        <v>0.01</v>
      </c>
      <c r="F132" s="245" t="str">
        <f t="shared" si="23"/>
        <v>BP SW</v>
      </c>
      <c r="G132" s="246">
        <f t="shared" si="24"/>
      </c>
      <c r="H132" s="247">
        <f t="shared" si="25"/>
        <v>0.01</v>
      </c>
      <c r="I132" s="224">
        <f t="shared" si="26"/>
      </c>
      <c r="J132" s="422">
        <f t="shared" si="21"/>
      </c>
      <c r="K132" s="421">
        <f t="shared" si="22"/>
      </c>
      <c r="L132" s="113"/>
      <c r="M132" s="114"/>
      <c r="N132" s="115"/>
      <c r="O132" s="116">
        <v>0.01</v>
      </c>
      <c r="P132" s="117"/>
      <c r="Q132" s="113"/>
      <c r="R132" s="114"/>
      <c r="S132" s="115"/>
      <c r="T132" s="116"/>
      <c r="U132" s="131"/>
      <c r="V132" s="131"/>
      <c r="W132" s="30"/>
      <c r="X132" s="31"/>
      <c r="Y132" s="31"/>
      <c r="Z132" s="32"/>
      <c r="AA132" s="29"/>
      <c r="AB132" s="33"/>
      <c r="AC132" s="33"/>
      <c r="AD132" s="4"/>
      <c r="AH132" s="228"/>
      <c r="AI132" s="230"/>
      <c r="AJ132" s="229"/>
      <c r="AK132" s="230"/>
      <c r="AL132" s="324"/>
      <c r="AM132" s="328"/>
    </row>
    <row r="133" spans="1:39" ht="13.5" thickBot="1">
      <c r="A133" s="289">
        <v>1002</v>
      </c>
      <c r="B133" s="166" t="s">
        <v>242</v>
      </c>
      <c r="C133" s="614" t="s">
        <v>48</v>
      </c>
      <c r="D133" s="614" t="s">
        <v>47</v>
      </c>
      <c r="E133" s="396">
        <f t="shared" si="19"/>
        <v>15</v>
      </c>
      <c r="F133" s="397" t="str">
        <f t="shared" si="23"/>
        <v>BP SW</v>
      </c>
      <c r="G133" s="398">
        <f t="shared" si="24"/>
      </c>
      <c r="H133" s="399">
        <f t="shared" si="25"/>
        <v>15</v>
      </c>
      <c r="I133" s="400">
        <f t="shared" si="26"/>
      </c>
      <c r="J133" s="423">
        <f t="shared" si="21"/>
      </c>
      <c r="K133" s="424">
        <f t="shared" si="22"/>
      </c>
      <c r="L133" s="401"/>
      <c r="M133" s="402"/>
      <c r="N133" s="165"/>
      <c r="O133" s="403">
        <v>15</v>
      </c>
      <c r="P133" s="165"/>
      <c r="Q133" s="401"/>
      <c r="R133" s="402"/>
      <c r="S133" s="165"/>
      <c r="T133" s="403"/>
      <c r="U133" s="48"/>
      <c r="V133" s="48"/>
      <c r="W133" s="167"/>
      <c r="X133" s="168"/>
      <c r="Y133" s="168"/>
      <c r="Z133" s="169"/>
      <c r="AA133" s="170"/>
      <c r="AB133" s="171"/>
      <c r="AC133" s="171"/>
      <c r="AD133" s="172"/>
      <c r="AH133" s="404"/>
      <c r="AI133" s="405"/>
      <c r="AJ133" s="406"/>
      <c r="AK133" s="405"/>
      <c r="AL133" s="407"/>
      <c r="AM133" s="408"/>
    </row>
    <row r="134" spans="1:22" ht="12.75">
      <c r="A134" s="49"/>
      <c r="B134" s="50"/>
      <c r="C134" s="51"/>
      <c r="D134" s="51"/>
      <c r="E134" s="553"/>
      <c r="F134" s="553"/>
      <c r="G134" s="553"/>
      <c r="H134" s="553"/>
      <c r="I134" s="553"/>
      <c r="J134" s="554"/>
      <c r="K134" s="555"/>
      <c r="L134" s="556"/>
      <c r="M134" s="556"/>
      <c r="N134" s="556"/>
      <c r="O134" s="51"/>
      <c r="P134" s="51"/>
      <c r="Q134" s="51"/>
      <c r="R134" s="51"/>
      <c r="S134" s="51"/>
      <c r="T134" s="51"/>
      <c r="U134" s="51"/>
      <c r="V134" s="51"/>
    </row>
    <row r="135" spans="1:22" ht="12.75">
      <c r="A135" s="47"/>
      <c r="B135" s="51"/>
      <c r="C135" s="51"/>
      <c r="D135" s="51"/>
      <c r="E135" s="54"/>
      <c r="F135" s="54"/>
      <c r="G135" s="54"/>
      <c r="H135" s="54"/>
      <c r="I135" s="54"/>
      <c r="J135" s="51"/>
      <c r="K135" s="51"/>
      <c r="L135" s="51"/>
      <c r="M135" s="51"/>
      <c r="N135" s="51"/>
      <c r="O135" s="6"/>
      <c r="P135" s="6"/>
      <c r="Q135" s="6"/>
      <c r="R135" s="6"/>
      <c r="S135" s="6"/>
      <c r="T135" s="6"/>
      <c r="U135" s="6"/>
      <c r="V135" s="6"/>
    </row>
    <row r="136" spans="1:22" ht="12.75">
      <c r="A136" s="52"/>
      <c r="B136" s="41"/>
      <c r="C136" s="41"/>
      <c r="D136" s="41"/>
      <c r="E136" s="42"/>
      <c r="F136" s="42"/>
      <c r="G136" s="42"/>
      <c r="H136" s="42"/>
      <c r="I136" s="42"/>
      <c r="J136" s="23"/>
      <c r="K136" s="51"/>
      <c r="L136" s="51"/>
      <c r="M136" s="51"/>
      <c r="N136" s="51"/>
      <c r="O136" s="6"/>
      <c r="P136" s="6"/>
      <c r="Q136" s="6"/>
      <c r="R136" s="6"/>
      <c r="S136" s="6"/>
      <c r="T136" s="6"/>
      <c r="U136" s="6"/>
      <c r="V136" s="6"/>
    </row>
    <row r="137" spans="5:12" ht="12.75">
      <c r="E137" s="55"/>
      <c r="F137" s="55"/>
      <c r="G137" s="55"/>
      <c r="H137" s="55"/>
      <c r="I137" s="55"/>
      <c r="J137" s="177"/>
      <c r="K137" s="177"/>
      <c r="L137" s="177"/>
    </row>
    <row r="138" spans="2:10" ht="12.75">
      <c r="B138" s="53"/>
      <c r="C138" s="53"/>
      <c r="D138" s="53"/>
      <c r="E138" s="56"/>
      <c r="F138" s="56"/>
      <c r="G138" s="56"/>
      <c r="H138" s="56"/>
      <c r="I138" s="56"/>
      <c r="J138" s="53"/>
    </row>
    <row r="139" spans="5:9" ht="12.75">
      <c r="E139" s="55"/>
      <c r="F139" s="55"/>
      <c r="G139" s="55"/>
      <c r="H139" s="55"/>
      <c r="I139" s="55"/>
    </row>
    <row r="140" spans="5:9" ht="12.75">
      <c r="E140" s="55"/>
      <c r="F140" s="55"/>
      <c r="G140" s="55"/>
      <c r="H140" s="55"/>
      <c r="I140" s="55"/>
    </row>
    <row r="141" spans="5:9" ht="12.75">
      <c r="E141" s="55"/>
      <c r="F141" s="55"/>
      <c r="G141" s="55"/>
      <c r="H141" s="55"/>
      <c r="I141" s="55"/>
    </row>
    <row r="142" spans="5:9" ht="12.75">
      <c r="E142" s="55"/>
      <c r="F142" s="55"/>
      <c r="G142" s="55"/>
      <c r="H142" s="55"/>
      <c r="I142" s="55"/>
    </row>
    <row r="143" spans="5:9" ht="12.75">
      <c r="E143" s="55"/>
      <c r="F143" s="55"/>
      <c r="G143" s="55"/>
      <c r="H143" s="55"/>
      <c r="I143" s="55"/>
    </row>
    <row r="144" spans="5:9" ht="12.75">
      <c r="E144" s="55"/>
      <c r="F144" s="55"/>
      <c r="G144" s="55"/>
      <c r="H144" s="55"/>
      <c r="I144" s="55"/>
    </row>
    <row r="145" spans="5:9" ht="12.75">
      <c r="E145" s="55"/>
      <c r="F145" s="55"/>
      <c r="G145" s="55"/>
      <c r="H145" s="55"/>
      <c r="I145" s="55"/>
    </row>
    <row r="146" spans="5:9" ht="12.75">
      <c r="E146" s="55"/>
      <c r="F146" s="55"/>
      <c r="G146" s="55"/>
      <c r="H146" s="55"/>
      <c r="I146" s="55"/>
    </row>
    <row r="147" spans="5:9" ht="12.75">
      <c r="E147" s="55"/>
      <c r="F147" s="55"/>
      <c r="G147" s="55"/>
      <c r="H147" s="55"/>
      <c r="I147" s="55"/>
    </row>
    <row r="148" spans="5:9" ht="12.75">
      <c r="E148" s="55"/>
      <c r="F148" s="55"/>
      <c r="G148" s="55"/>
      <c r="H148" s="55"/>
      <c r="I148" s="55"/>
    </row>
    <row r="149" spans="5:9" ht="12.75">
      <c r="E149" s="55"/>
      <c r="F149" s="55"/>
      <c r="G149" s="55"/>
      <c r="H149" s="55"/>
      <c r="I149" s="55"/>
    </row>
    <row r="150" spans="5:9" ht="12.75">
      <c r="E150" s="55"/>
      <c r="F150" s="55"/>
      <c r="G150" s="55"/>
      <c r="H150" s="55"/>
      <c r="I150" s="55"/>
    </row>
    <row r="151" spans="5:9" ht="12.75">
      <c r="E151" s="55"/>
      <c r="F151" s="55"/>
      <c r="G151" s="55"/>
      <c r="H151" s="55"/>
      <c r="I151" s="55"/>
    </row>
    <row r="152" spans="5:9" ht="12.75">
      <c r="E152" s="55"/>
      <c r="F152" s="55"/>
      <c r="G152" s="55"/>
      <c r="H152" s="55"/>
      <c r="I152" s="55"/>
    </row>
    <row r="153" spans="5:9" ht="12.75">
      <c r="E153" s="55"/>
      <c r="F153" s="55"/>
      <c r="G153" s="55"/>
      <c r="H153" s="55"/>
      <c r="I153" s="55"/>
    </row>
    <row r="154" spans="5:9" ht="12.75">
      <c r="E154" s="55"/>
      <c r="F154" s="55"/>
      <c r="G154" s="55"/>
      <c r="H154" s="55"/>
      <c r="I154" s="55"/>
    </row>
    <row r="155" spans="5:9" ht="12.75">
      <c r="E155" s="55"/>
      <c r="F155" s="55"/>
      <c r="G155" s="55"/>
      <c r="H155" s="55"/>
      <c r="I155" s="55"/>
    </row>
    <row r="156" spans="5:9" ht="12.75">
      <c r="E156" s="55"/>
      <c r="F156" s="55"/>
      <c r="G156" s="55"/>
      <c r="H156" s="55"/>
      <c r="I156" s="55"/>
    </row>
    <row r="157" spans="5:9" ht="12.75">
      <c r="E157" s="55"/>
      <c r="F157" s="55"/>
      <c r="G157" s="55"/>
      <c r="H157" s="55"/>
      <c r="I157" s="55"/>
    </row>
    <row r="158" spans="5:9" ht="12.75">
      <c r="E158" s="55"/>
      <c r="F158" s="55"/>
      <c r="G158" s="55"/>
      <c r="H158" s="55"/>
      <c r="I158" s="55"/>
    </row>
    <row r="159" spans="5:9" ht="12.75">
      <c r="E159" s="55"/>
      <c r="F159" s="55"/>
      <c r="G159" s="55"/>
      <c r="H159" s="55"/>
      <c r="I159" s="55"/>
    </row>
    <row r="160" spans="5:9" ht="12.75">
      <c r="E160" s="55"/>
      <c r="F160" s="55"/>
      <c r="G160" s="55"/>
      <c r="H160" s="55"/>
      <c r="I160" s="55"/>
    </row>
    <row r="161" spans="5:9" ht="12.75">
      <c r="E161" s="55"/>
      <c r="F161" s="55"/>
      <c r="G161" s="55"/>
      <c r="H161" s="55"/>
      <c r="I161" s="55"/>
    </row>
    <row r="162" spans="5:9" ht="12.75">
      <c r="E162" s="55"/>
      <c r="F162" s="55"/>
      <c r="G162" s="55"/>
      <c r="H162" s="55"/>
      <c r="I162" s="55"/>
    </row>
    <row r="163" spans="5:9" ht="12.75">
      <c r="E163" s="55"/>
      <c r="F163" s="55"/>
      <c r="G163" s="55"/>
      <c r="H163" s="55"/>
      <c r="I163" s="55"/>
    </row>
    <row r="164" spans="5:9" ht="12.75">
      <c r="E164" s="55"/>
      <c r="F164" s="55"/>
      <c r="G164" s="55"/>
      <c r="H164" s="55"/>
      <c r="I164" s="55"/>
    </row>
    <row r="165" spans="5:9" ht="12.75">
      <c r="E165" s="55"/>
      <c r="F165" s="55"/>
      <c r="G165" s="55"/>
      <c r="H165" s="55"/>
      <c r="I165" s="55"/>
    </row>
    <row r="166" spans="5:9" ht="12.75">
      <c r="E166" s="55"/>
      <c r="F166" s="55"/>
      <c r="G166" s="55"/>
      <c r="H166" s="55"/>
      <c r="I166" s="55"/>
    </row>
    <row r="167" spans="5:9" ht="12.75">
      <c r="E167" s="55"/>
      <c r="F167" s="55"/>
      <c r="G167" s="55"/>
      <c r="H167" s="55"/>
      <c r="I167" s="55"/>
    </row>
    <row r="168" spans="5:9" ht="12.75">
      <c r="E168" s="55"/>
      <c r="F168" s="55"/>
      <c r="G168" s="55"/>
      <c r="H168" s="55"/>
      <c r="I168" s="55"/>
    </row>
    <row r="169" spans="5:9" ht="12.75">
      <c r="E169" s="55"/>
      <c r="F169" s="55"/>
      <c r="G169" s="55"/>
      <c r="H169" s="55"/>
      <c r="I169" s="55"/>
    </row>
    <row r="170" spans="5:9" ht="12.75">
      <c r="E170" s="55"/>
      <c r="F170" s="55"/>
      <c r="G170" s="55"/>
      <c r="H170" s="55"/>
      <c r="I170" s="55"/>
    </row>
    <row r="171" spans="5:9" ht="12.75">
      <c r="E171" s="55"/>
      <c r="F171" s="55"/>
      <c r="G171" s="55"/>
      <c r="H171" s="55"/>
      <c r="I171" s="55"/>
    </row>
    <row r="172" spans="5:9" ht="12.75">
      <c r="E172" s="55"/>
      <c r="F172" s="55"/>
      <c r="G172" s="55"/>
      <c r="H172" s="55"/>
      <c r="I172" s="55"/>
    </row>
    <row r="173" spans="5:9" ht="12.75">
      <c r="E173" s="55"/>
      <c r="F173" s="55"/>
      <c r="G173" s="55"/>
      <c r="H173" s="55"/>
      <c r="I173" s="55"/>
    </row>
    <row r="174" spans="5:9" ht="12.75">
      <c r="E174" s="55"/>
      <c r="F174" s="55"/>
      <c r="G174" s="55"/>
      <c r="H174" s="55"/>
      <c r="I174" s="55"/>
    </row>
    <row r="175" spans="5:9" ht="12.75">
      <c r="E175" s="55"/>
      <c r="F175" s="55"/>
      <c r="G175" s="55"/>
      <c r="H175" s="55"/>
      <c r="I175" s="55"/>
    </row>
    <row r="176" spans="5:9" ht="12.75">
      <c r="E176" s="55"/>
      <c r="F176" s="55"/>
      <c r="G176" s="55"/>
      <c r="H176" s="55"/>
      <c r="I176" s="55"/>
    </row>
    <row r="177" spans="5:9" ht="12.75">
      <c r="E177" s="55"/>
      <c r="F177" s="55"/>
      <c r="G177" s="55"/>
      <c r="H177" s="55"/>
      <c r="I177" s="55"/>
    </row>
    <row r="178" spans="5:9" ht="12.75">
      <c r="E178" s="55"/>
      <c r="F178" s="55"/>
      <c r="G178" s="55"/>
      <c r="H178" s="55"/>
      <c r="I178" s="55"/>
    </row>
    <row r="179" spans="5:9" ht="12.75">
      <c r="E179" s="55"/>
      <c r="F179" s="55"/>
      <c r="G179" s="55"/>
      <c r="H179" s="55"/>
      <c r="I179" s="55"/>
    </row>
    <row r="180" spans="5:9" ht="12.75">
      <c r="E180" s="55"/>
      <c r="F180" s="55"/>
      <c r="G180" s="55"/>
      <c r="H180" s="55"/>
      <c r="I180" s="55"/>
    </row>
    <row r="181" spans="5:9" ht="12.75">
      <c r="E181" s="55"/>
      <c r="F181" s="55"/>
      <c r="G181" s="55"/>
      <c r="H181" s="55"/>
      <c r="I181" s="55"/>
    </row>
    <row r="182" spans="5:9" ht="12.75">
      <c r="E182" s="55"/>
      <c r="F182" s="55"/>
      <c r="G182" s="55"/>
      <c r="H182" s="55"/>
      <c r="I182" s="55"/>
    </row>
    <row r="183" spans="5:9" ht="12.75">
      <c r="E183" s="55"/>
      <c r="F183" s="55"/>
      <c r="G183" s="55"/>
      <c r="H183" s="55"/>
      <c r="I183" s="55"/>
    </row>
    <row r="184" spans="5:9" ht="12.75">
      <c r="E184" s="55"/>
      <c r="F184" s="55"/>
      <c r="G184" s="55"/>
      <c r="H184" s="55"/>
      <c r="I184" s="55"/>
    </row>
    <row r="185" spans="5:9" ht="12.75">
      <c r="E185" s="55"/>
      <c r="F185" s="55"/>
      <c r="G185" s="55"/>
      <c r="H185" s="55"/>
      <c r="I185" s="55"/>
    </row>
    <row r="186" spans="5:9" ht="12.75">
      <c r="E186" s="55"/>
      <c r="F186" s="55"/>
      <c r="G186" s="55"/>
      <c r="H186" s="55"/>
      <c r="I186" s="55"/>
    </row>
    <row r="187" spans="5:9" ht="12.75">
      <c r="E187" s="55"/>
      <c r="F187" s="55"/>
      <c r="G187" s="55"/>
      <c r="H187" s="55"/>
      <c r="I187" s="55"/>
    </row>
    <row r="188" spans="5:9" ht="12.75">
      <c r="E188" s="55"/>
      <c r="F188" s="55"/>
      <c r="G188" s="55"/>
      <c r="H188" s="55"/>
      <c r="I188" s="55"/>
    </row>
    <row r="189" spans="5:9" ht="12.75">
      <c r="E189" s="55"/>
      <c r="F189" s="55"/>
      <c r="G189" s="55"/>
      <c r="H189" s="55"/>
      <c r="I189" s="55"/>
    </row>
    <row r="190" spans="5:9" ht="12.75">
      <c r="E190" s="55"/>
      <c r="F190" s="55"/>
      <c r="G190" s="55"/>
      <c r="H190" s="55"/>
      <c r="I190" s="55"/>
    </row>
    <row r="191" spans="5:9" ht="12.75">
      <c r="E191" s="55"/>
      <c r="F191" s="55"/>
      <c r="G191" s="55"/>
      <c r="H191" s="55"/>
      <c r="I191" s="55"/>
    </row>
    <row r="192" spans="5:9" ht="12.75">
      <c r="E192" s="55"/>
      <c r="F192" s="55"/>
      <c r="G192" s="55"/>
      <c r="H192" s="55"/>
      <c r="I192" s="55"/>
    </row>
    <row r="193" spans="5:9" ht="12.75">
      <c r="E193" s="55"/>
      <c r="F193" s="55"/>
      <c r="G193" s="55"/>
      <c r="H193" s="55"/>
      <c r="I193" s="55"/>
    </row>
    <row r="194" spans="5:9" ht="12.75">
      <c r="E194" s="55"/>
      <c r="F194" s="55"/>
      <c r="G194" s="55"/>
      <c r="H194" s="55"/>
      <c r="I194" s="55"/>
    </row>
    <row r="195" spans="5:9" ht="12.75">
      <c r="E195" s="55"/>
      <c r="F195" s="55"/>
      <c r="G195" s="55"/>
      <c r="H195" s="55"/>
      <c r="I195" s="55"/>
    </row>
    <row r="196" spans="5:9" ht="12.75">
      <c r="E196" s="55"/>
      <c r="F196" s="55"/>
      <c r="G196" s="55"/>
      <c r="H196" s="55"/>
      <c r="I196" s="55"/>
    </row>
    <row r="197" spans="5:9" ht="12.75">
      <c r="E197" s="55"/>
      <c r="F197" s="55"/>
      <c r="G197" s="55"/>
      <c r="H197" s="55"/>
      <c r="I197" s="55"/>
    </row>
    <row r="198" spans="5:9" ht="12.75">
      <c r="E198" s="55"/>
      <c r="F198" s="55"/>
      <c r="G198" s="55"/>
      <c r="H198" s="55"/>
      <c r="I198" s="55"/>
    </row>
    <row r="199" spans="5:9" ht="12.75">
      <c r="E199" s="55"/>
      <c r="F199" s="55"/>
      <c r="G199" s="55"/>
      <c r="H199" s="55"/>
      <c r="I199" s="55"/>
    </row>
    <row r="200" spans="5:9" ht="12.75">
      <c r="E200" s="55"/>
      <c r="F200" s="55"/>
      <c r="G200" s="55"/>
      <c r="H200" s="55"/>
      <c r="I200" s="55"/>
    </row>
    <row r="201" spans="5:9" ht="12.75">
      <c r="E201" s="55"/>
      <c r="F201" s="55"/>
      <c r="G201" s="55"/>
      <c r="H201" s="55"/>
      <c r="I201" s="55"/>
    </row>
    <row r="202" spans="5:9" ht="12.75">
      <c r="E202" s="55"/>
      <c r="F202" s="55"/>
      <c r="G202" s="55"/>
      <c r="H202" s="55"/>
      <c r="I202" s="55"/>
    </row>
    <row r="203" spans="5:9" ht="12.75">
      <c r="E203" s="55"/>
      <c r="F203" s="55"/>
      <c r="G203" s="55"/>
      <c r="H203" s="55"/>
      <c r="I203" s="55"/>
    </row>
    <row r="204" spans="5:9" ht="12.75">
      <c r="E204" s="55"/>
      <c r="F204" s="55"/>
      <c r="G204" s="55"/>
      <c r="H204" s="55"/>
      <c r="I204" s="55"/>
    </row>
    <row r="205" spans="5:9" ht="12.75">
      <c r="E205" s="55"/>
      <c r="F205" s="55"/>
      <c r="G205" s="55"/>
      <c r="H205" s="55"/>
      <c r="I205" s="55"/>
    </row>
    <row r="206" spans="5:9" ht="12.75">
      <c r="E206" s="55"/>
      <c r="F206" s="55"/>
      <c r="G206" s="55"/>
      <c r="H206" s="55"/>
      <c r="I206" s="55"/>
    </row>
    <row r="207" spans="5:9" ht="12.75">
      <c r="E207" s="55"/>
      <c r="F207" s="55"/>
      <c r="G207" s="55"/>
      <c r="H207" s="55"/>
      <c r="I207" s="55"/>
    </row>
    <row r="208" spans="5:9" ht="12.75">
      <c r="E208" s="55"/>
      <c r="F208" s="55"/>
      <c r="G208" s="55"/>
      <c r="H208" s="55"/>
      <c r="I208" s="55"/>
    </row>
    <row r="209" spans="5:9" ht="12.75">
      <c r="E209" s="55"/>
      <c r="F209" s="55"/>
      <c r="G209" s="55"/>
      <c r="H209" s="55"/>
      <c r="I209" s="55"/>
    </row>
    <row r="210" spans="5:9" ht="12.75">
      <c r="E210" s="55"/>
      <c r="F210" s="55"/>
      <c r="G210" s="55"/>
      <c r="H210" s="55"/>
      <c r="I210" s="55"/>
    </row>
    <row r="211" spans="5:9" ht="12.75">
      <c r="E211" s="55"/>
      <c r="F211" s="55"/>
      <c r="G211" s="55"/>
      <c r="H211" s="55"/>
      <c r="I211" s="55"/>
    </row>
    <row r="212" spans="5:9" ht="12.75">
      <c r="E212" s="55"/>
      <c r="F212" s="55"/>
      <c r="G212" s="55"/>
      <c r="H212" s="55"/>
      <c r="I212" s="55"/>
    </row>
    <row r="213" spans="5:9" ht="12.75">
      <c r="E213" s="55"/>
      <c r="F213" s="55"/>
      <c r="G213" s="55"/>
      <c r="H213" s="55"/>
      <c r="I213" s="55"/>
    </row>
    <row r="214" spans="5:9" ht="12.75">
      <c r="E214" s="55"/>
      <c r="F214" s="55"/>
      <c r="G214" s="55"/>
      <c r="H214" s="55"/>
      <c r="I214" s="55"/>
    </row>
    <row r="215" spans="5:9" ht="12.75">
      <c r="E215" s="55"/>
      <c r="F215" s="55"/>
      <c r="G215" s="55"/>
      <c r="H215" s="55"/>
      <c r="I215" s="55"/>
    </row>
    <row r="216" spans="5:9" ht="12.75">
      <c r="E216" s="55"/>
      <c r="F216" s="55"/>
      <c r="G216" s="55"/>
      <c r="H216" s="55"/>
      <c r="I216" s="55"/>
    </row>
    <row r="217" spans="5:9" ht="12.75">
      <c r="E217" s="55"/>
      <c r="F217" s="55"/>
      <c r="G217" s="55"/>
      <c r="H217" s="55"/>
      <c r="I217" s="55"/>
    </row>
    <row r="218" spans="5:9" ht="12.75">
      <c r="E218" s="55"/>
      <c r="F218" s="55"/>
      <c r="G218" s="55"/>
      <c r="H218" s="55"/>
      <c r="I218" s="55"/>
    </row>
    <row r="219" spans="5:9" ht="12.75">
      <c r="E219" s="55"/>
      <c r="F219" s="55"/>
      <c r="G219" s="55"/>
      <c r="H219" s="55"/>
      <c r="I219" s="55"/>
    </row>
    <row r="220" spans="5:9" ht="12.75">
      <c r="E220" s="55"/>
      <c r="F220" s="55"/>
      <c r="G220" s="55"/>
      <c r="H220" s="55"/>
      <c r="I220" s="55"/>
    </row>
    <row r="221" spans="5:9" ht="12.75">
      <c r="E221" s="55"/>
      <c r="F221" s="55"/>
      <c r="G221" s="55"/>
      <c r="H221" s="55"/>
      <c r="I221" s="55"/>
    </row>
    <row r="222" spans="5:9" ht="12.75">
      <c r="E222" s="55"/>
      <c r="F222" s="55"/>
      <c r="G222" s="55"/>
      <c r="H222" s="55"/>
      <c r="I222" s="55"/>
    </row>
    <row r="223" spans="5:9" ht="12.75">
      <c r="E223" s="55"/>
      <c r="F223" s="55"/>
      <c r="G223" s="55"/>
      <c r="H223" s="55"/>
      <c r="I223" s="55"/>
    </row>
    <row r="224" spans="5:9" ht="12.75">
      <c r="E224" s="55"/>
      <c r="F224" s="55"/>
      <c r="G224" s="55"/>
      <c r="H224" s="55"/>
      <c r="I224" s="55"/>
    </row>
    <row r="225" spans="5:9" ht="12.75">
      <c r="E225" s="55"/>
      <c r="F225" s="55"/>
      <c r="G225" s="55"/>
      <c r="H225" s="55"/>
      <c r="I225" s="55"/>
    </row>
    <row r="226" spans="5:9" ht="12.75">
      <c r="E226" s="55"/>
      <c r="F226" s="55"/>
      <c r="G226" s="55"/>
      <c r="H226" s="55"/>
      <c r="I226" s="55"/>
    </row>
    <row r="227" spans="5:9" ht="12.75">
      <c r="E227" s="55"/>
      <c r="F227" s="55"/>
      <c r="G227" s="55"/>
      <c r="H227" s="55"/>
      <c r="I227" s="55"/>
    </row>
    <row r="228" spans="5:9" ht="12.75">
      <c r="E228" s="55"/>
      <c r="F228" s="55"/>
      <c r="G228" s="55"/>
      <c r="H228" s="55"/>
      <c r="I228" s="55"/>
    </row>
    <row r="229" spans="5:9" ht="12.75">
      <c r="E229" s="55"/>
      <c r="F229" s="55"/>
      <c r="G229" s="55"/>
      <c r="H229" s="55"/>
      <c r="I229" s="55"/>
    </row>
    <row r="230" spans="5:9" ht="12.75">
      <c r="E230" s="55"/>
      <c r="F230" s="55"/>
      <c r="G230" s="55"/>
      <c r="H230" s="55"/>
      <c r="I230" s="55"/>
    </row>
    <row r="231" spans="5:9" ht="12.75">
      <c r="E231" s="55"/>
      <c r="F231" s="55"/>
      <c r="G231" s="55"/>
      <c r="H231" s="55"/>
      <c r="I231" s="55"/>
    </row>
    <row r="232" spans="5:9" ht="12.75">
      <c r="E232" s="55"/>
      <c r="F232" s="55"/>
      <c r="G232" s="55"/>
      <c r="H232" s="55"/>
      <c r="I232" s="55"/>
    </row>
    <row r="233" spans="5:9" ht="12.75">
      <c r="E233" s="55"/>
      <c r="F233" s="55"/>
      <c r="G233" s="55"/>
      <c r="H233" s="55"/>
      <c r="I233" s="55"/>
    </row>
    <row r="234" spans="5:9" ht="12.75">
      <c r="E234" s="55"/>
      <c r="F234" s="55"/>
      <c r="G234" s="55"/>
      <c r="H234" s="55"/>
      <c r="I234" s="55"/>
    </row>
    <row r="235" spans="5:9" ht="12.75">
      <c r="E235" s="55"/>
      <c r="F235" s="55"/>
      <c r="G235" s="55"/>
      <c r="H235" s="55"/>
      <c r="I235" s="55"/>
    </row>
    <row r="236" spans="5:9" ht="12.75">
      <c r="E236" s="55"/>
      <c r="F236" s="55"/>
      <c r="G236" s="55"/>
      <c r="H236" s="55"/>
      <c r="I236" s="55"/>
    </row>
    <row r="237" spans="5:9" ht="12.75">
      <c r="E237" s="55"/>
      <c r="F237" s="55"/>
      <c r="G237" s="55"/>
      <c r="H237" s="55"/>
      <c r="I237" s="55"/>
    </row>
    <row r="238" spans="5:9" ht="12.75">
      <c r="E238" s="55"/>
      <c r="F238" s="55"/>
      <c r="G238" s="55"/>
      <c r="H238" s="55"/>
      <c r="I238" s="55"/>
    </row>
    <row r="239" spans="5:9" ht="12.75">
      <c r="E239" s="55"/>
      <c r="F239" s="55"/>
      <c r="G239" s="55"/>
      <c r="H239" s="55"/>
      <c r="I239" s="55"/>
    </row>
    <row r="240" spans="5:9" ht="12.75">
      <c r="E240" s="55"/>
      <c r="F240" s="55"/>
      <c r="G240" s="55"/>
      <c r="H240" s="55"/>
      <c r="I240" s="55"/>
    </row>
    <row r="241" spans="5:9" ht="12.75">
      <c r="E241" s="55"/>
      <c r="F241" s="55"/>
      <c r="G241" s="55"/>
      <c r="H241" s="55"/>
      <c r="I241" s="55"/>
    </row>
    <row r="242" spans="5:9" ht="12.75">
      <c r="E242" s="55"/>
      <c r="F242" s="55"/>
      <c r="G242" s="55"/>
      <c r="H242" s="55"/>
      <c r="I242" s="55"/>
    </row>
    <row r="243" spans="5:9" ht="12.75">
      <c r="E243" s="55"/>
      <c r="F243" s="55"/>
      <c r="G243" s="55"/>
      <c r="H243" s="55"/>
      <c r="I243" s="55"/>
    </row>
    <row r="244" spans="5:9" ht="12.75">
      <c r="E244" s="55"/>
      <c r="F244" s="55"/>
      <c r="G244" s="55"/>
      <c r="H244" s="55"/>
      <c r="I244" s="55"/>
    </row>
    <row r="245" spans="5:9" ht="12.75">
      <c r="E245" s="55"/>
      <c r="F245" s="55"/>
      <c r="G245" s="55"/>
      <c r="H245" s="55"/>
      <c r="I245" s="55"/>
    </row>
    <row r="246" spans="5:9" ht="12.75">
      <c r="E246" s="55"/>
      <c r="F246" s="55"/>
      <c r="G246" s="55"/>
      <c r="H246" s="55"/>
      <c r="I246" s="55"/>
    </row>
    <row r="247" spans="5:9" ht="12.75">
      <c r="E247" s="55"/>
      <c r="F247" s="55"/>
      <c r="G247" s="55"/>
      <c r="H247" s="55"/>
      <c r="I247" s="55"/>
    </row>
    <row r="248" spans="5:9" ht="12.75">
      <c r="E248" s="55"/>
      <c r="F248" s="55"/>
      <c r="G248" s="55"/>
      <c r="H248" s="55"/>
      <c r="I248" s="55"/>
    </row>
    <row r="249" spans="5:9" ht="12.75">
      <c r="E249" s="55"/>
      <c r="F249" s="55"/>
      <c r="G249" s="55"/>
      <c r="H249" s="55"/>
      <c r="I249" s="55"/>
    </row>
    <row r="250" spans="5:9" ht="12.75">
      <c r="E250" s="55"/>
      <c r="F250" s="55"/>
      <c r="G250" s="55"/>
      <c r="H250" s="55"/>
      <c r="I250" s="55"/>
    </row>
    <row r="251" spans="5:9" ht="12.75">
      <c r="E251" s="55"/>
      <c r="F251" s="55"/>
      <c r="G251" s="55"/>
      <c r="H251" s="55"/>
      <c r="I251" s="55"/>
    </row>
    <row r="252" spans="5:9" ht="12.75">
      <c r="E252" s="55"/>
      <c r="F252" s="55"/>
      <c r="G252" s="55"/>
      <c r="H252" s="55"/>
      <c r="I252" s="55"/>
    </row>
    <row r="253" spans="5:9" ht="12.75">
      <c r="E253" s="55"/>
      <c r="F253" s="55"/>
      <c r="G253" s="55"/>
      <c r="H253" s="55"/>
      <c r="I253" s="55"/>
    </row>
    <row r="254" spans="5:9" ht="12.75">
      <c r="E254" s="55"/>
      <c r="F254" s="55"/>
      <c r="G254" s="55"/>
      <c r="H254" s="55"/>
      <c r="I254" s="55"/>
    </row>
    <row r="255" spans="5:9" ht="12.75">
      <c r="E255" s="55"/>
      <c r="F255" s="55"/>
      <c r="G255" s="55"/>
      <c r="H255" s="55"/>
      <c r="I255" s="55"/>
    </row>
    <row r="256" spans="5:9" ht="12.75">
      <c r="E256" s="55"/>
      <c r="F256" s="55"/>
      <c r="G256" s="55"/>
      <c r="H256" s="55"/>
      <c r="I256" s="55"/>
    </row>
    <row r="257" spans="5:9" ht="12.75">
      <c r="E257" s="55"/>
      <c r="F257" s="55"/>
      <c r="G257" s="55"/>
      <c r="H257" s="55"/>
      <c r="I257" s="55"/>
    </row>
    <row r="258" spans="5:9" ht="12.75">
      <c r="E258" s="55"/>
      <c r="F258" s="55"/>
      <c r="G258" s="55"/>
      <c r="H258" s="55"/>
      <c r="I258" s="55"/>
    </row>
    <row r="259" spans="5:9" ht="12.75">
      <c r="E259" s="55"/>
      <c r="F259" s="55"/>
      <c r="G259" s="55"/>
      <c r="H259" s="55"/>
      <c r="I259" s="55"/>
    </row>
    <row r="260" spans="5:9" ht="12.75">
      <c r="E260" s="55"/>
      <c r="F260" s="55"/>
      <c r="G260" s="55"/>
      <c r="H260" s="55"/>
      <c r="I260" s="55"/>
    </row>
    <row r="261" spans="5:9" ht="12.75">
      <c r="E261" s="55"/>
      <c r="F261" s="55"/>
      <c r="G261" s="55"/>
      <c r="H261" s="55"/>
      <c r="I261" s="55"/>
    </row>
    <row r="262" spans="5:9" ht="12.75">
      <c r="E262" s="55"/>
      <c r="F262" s="55"/>
      <c r="G262" s="55"/>
      <c r="H262" s="55"/>
      <c r="I262" s="55"/>
    </row>
    <row r="263" spans="5:9" ht="12.75">
      <c r="E263" s="55"/>
      <c r="F263" s="55"/>
      <c r="G263" s="55"/>
      <c r="H263" s="55"/>
      <c r="I263" s="55"/>
    </row>
    <row r="264" spans="5:9" ht="12.75">
      <c r="E264" s="55"/>
      <c r="F264" s="55"/>
      <c r="G264" s="55"/>
      <c r="H264" s="55"/>
      <c r="I264" s="55"/>
    </row>
    <row r="265" spans="5:9" ht="12.75">
      <c r="E265" s="55"/>
      <c r="F265" s="55"/>
      <c r="G265" s="55"/>
      <c r="H265" s="55"/>
      <c r="I265" s="55"/>
    </row>
    <row r="266" spans="5:9" ht="12.75">
      <c r="E266" s="55"/>
      <c r="F266" s="55"/>
      <c r="G266" s="55"/>
      <c r="H266" s="55"/>
      <c r="I266" s="55"/>
    </row>
    <row r="267" spans="5:9" ht="12.75">
      <c r="E267" s="55"/>
      <c r="F267" s="55"/>
      <c r="G267" s="55"/>
      <c r="H267" s="55"/>
      <c r="I267" s="55"/>
    </row>
    <row r="268" spans="5:9" ht="12.75">
      <c r="E268" s="55"/>
      <c r="F268" s="55"/>
      <c r="G268" s="55"/>
      <c r="H268" s="55"/>
      <c r="I268" s="55"/>
    </row>
    <row r="269" spans="5:9" ht="12.75">
      <c r="E269" s="55"/>
      <c r="F269" s="55"/>
      <c r="G269" s="55"/>
      <c r="H269" s="55"/>
      <c r="I269" s="55"/>
    </row>
    <row r="270" spans="5:9" ht="12.75">
      <c r="E270" s="55"/>
      <c r="F270" s="55"/>
      <c r="G270" s="55"/>
      <c r="H270" s="55"/>
      <c r="I270" s="55"/>
    </row>
    <row r="271" spans="5:9" ht="12.75">
      <c r="E271" s="55"/>
      <c r="F271" s="55"/>
      <c r="G271" s="55"/>
      <c r="H271" s="55"/>
      <c r="I271" s="55"/>
    </row>
    <row r="272" spans="5:9" ht="12.75">
      <c r="E272" s="55"/>
      <c r="F272" s="55"/>
      <c r="G272" s="55"/>
      <c r="H272" s="55"/>
      <c r="I272" s="55"/>
    </row>
    <row r="273" spans="5:9" ht="12.75">
      <c r="E273" s="55"/>
      <c r="F273" s="55"/>
      <c r="G273" s="55"/>
      <c r="H273" s="55"/>
      <c r="I273" s="55"/>
    </row>
    <row r="274" spans="5:9" ht="12.75">
      <c r="E274" s="55"/>
      <c r="F274" s="55"/>
      <c r="G274" s="55"/>
      <c r="H274" s="55"/>
      <c r="I274" s="55"/>
    </row>
    <row r="275" spans="5:9" ht="12.75">
      <c r="E275" s="55"/>
      <c r="F275" s="55"/>
      <c r="G275" s="55"/>
      <c r="H275" s="55"/>
      <c r="I275" s="55"/>
    </row>
    <row r="276" spans="5:9" ht="12.75">
      <c r="E276" s="55"/>
      <c r="F276" s="55"/>
      <c r="G276" s="55"/>
      <c r="H276" s="55"/>
      <c r="I276" s="55"/>
    </row>
    <row r="277" spans="5:9" ht="12.75">
      <c r="E277" s="55"/>
      <c r="F277" s="55"/>
      <c r="G277" s="55"/>
      <c r="H277" s="55"/>
      <c r="I277" s="55"/>
    </row>
    <row r="278" spans="5:9" ht="12.75">
      <c r="E278" s="55"/>
      <c r="F278" s="55"/>
      <c r="G278" s="55"/>
      <c r="H278" s="55"/>
      <c r="I278" s="55"/>
    </row>
    <row r="279" spans="5:9" ht="12.75">
      <c r="E279" s="55"/>
      <c r="F279" s="55"/>
      <c r="G279" s="55"/>
      <c r="H279" s="55"/>
      <c r="I279" s="55"/>
    </row>
    <row r="280" spans="5:9" ht="12.75">
      <c r="E280" s="55"/>
      <c r="F280" s="55"/>
      <c r="G280" s="55"/>
      <c r="H280" s="55"/>
      <c r="I280" s="55"/>
    </row>
    <row r="281" spans="5:9" ht="12.75">
      <c r="E281" s="55"/>
      <c r="F281" s="55"/>
      <c r="G281" s="55"/>
      <c r="H281" s="55"/>
      <c r="I281" s="55"/>
    </row>
    <row r="282" spans="5:9" ht="12.75">
      <c r="E282" s="55"/>
      <c r="F282" s="55"/>
      <c r="G282" s="55"/>
      <c r="H282" s="55"/>
      <c r="I282" s="55"/>
    </row>
    <row r="283" spans="5:9" ht="12.75">
      <c r="E283" s="55"/>
      <c r="F283" s="55"/>
      <c r="G283" s="55"/>
      <c r="H283" s="55"/>
      <c r="I283" s="55"/>
    </row>
    <row r="284" spans="5:9" ht="12.75">
      <c r="E284" s="55"/>
      <c r="F284" s="55"/>
      <c r="G284" s="55"/>
      <c r="H284" s="55"/>
      <c r="I284" s="55"/>
    </row>
    <row r="285" spans="5:9" ht="12.75">
      <c r="E285" s="55"/>
      <c r="F285" s="55"/>
      <c r="G285" s="55"/>
      <c r="H285" s="55"/>
      <c r="I285" s="55"/>
    </row>
    <row r="286" spans="5:9" ht="12.75">
      <c r="E286" s="55"/>
      <c r="F286" s="55"/>
      <c r="G286" s="55"/>
      <c r="H286" s="55"/>
      <c r="I286" s="55"/>
    </row>
    <row r="287" spans="5:9" ht="12.75">
      <c r="E287" s="55"/>
      <c r="F287" s="55"/>
      <c r="G287" s="55"/>
      <c r="H287" s="55"/>
      <c r="I287" s="55"/>
    </row>
    <row r="288" spans="5:9" ht="12.75">
      <c r="E288" s="55"/>
      <c r="F288" s="55"/>
      <c r="G288" s="55"/>
      <c r="H288" s="55"/>
      <c r="I288" s="55"/>
    </row>
    <row r="289" spans="5:9" ht="12.75">
      <c r="E289" s="55"/>
      <c r="F289" s="55"/>
      <c r="G289" s="55"/>
      <c r="H289" s="55"/>
      <c r="I289" s="55"/>
    </row>
    <row r="290" spans="5:9" ht="12.75">
      <c r="E290" s="55"/>
      <c r="F290" s="55"/>
      <c r="G290" s="55"/>
      <c r="H290" s="55"/>
      <c r="I290" s="55"/>
    </row>
    <row r="291" spans="5:9" ht="12.75">
      <c r="E291" s="55"/>
      <c r="F291" s="55"/>
      <c r="G291" s="55"/>
      <c r="H291" s="55"/>
      <c r="I291" s="55"/>
    </row>
    <row r="292" spans="5:9" ht="12.75">
      <c r="E292" s="55"/>
      <c r="F292" s="55"/>
      <c r="G292" s="55"/>
      <c r="H292" s="55"/>
      <c r="I292" s="55"/>
    </row>
    <row r="293" spans="5:9" ht="12.75">
      <c r="E293" s="55"/>
      <c r="F293" s="55"/>
      <c r="G293" s="55"/>
      <c r="H293" s="55"/>
      <c r="I293" s="55"/>
    </row>
    <row r="294" spans="5:9" ht="12.75">
      <c r="E294" s="55"/>
      <c r="F294" s="55"/>
      <c r="G294" s="55"/>
      <c r="H294" s="55"/>
      <c r="I294" s="55"/>
    </row>
    <row r="295" spans="5:9" ht="12.75">
      <c r="E295" s="55"/>
      <c r="F295" s="55"/>
      <c r="G295" s="55"/>
      <c r="H295" s="55"/>
      <c r="I295" s="55"/>
    </row>
    <row r="296" spans="5:9" ht="12.75">
      <c r="E296" s="55"/>
      <c r="F296" s="55"/>
      <c r="G296" s="55"/>
      <c r="H296" s="55"/>
      <c r="I296" s="55"/>
    </row>
    <row r="297" spans="5:9" ht="12.75">
      <c r="E297" s="55"/>
      <c r="F297" s="55"/>
      <c r="G297" s="55"/>
      <c r="H297" s="55"/>
      <c r="I297" s="55"/>
    </row>
    <row r="298" spans="5:9" ht="12.75">
      <c r="E298" s="55"/>
      <c r="F298" s="55"/>
      <c r="G298" s="55"/>
      <c r="H298" s="55"/>
      <c r="I298" s="55"/>
    </row>
    <row r="299" spans="5:9" ht="12.75">
      <c r="E299" s="55"/>
      <c r="F299" s="55"/>
      <c r="G299" s="55"/>
      <c r="H299" s="55"/>
      <c r="I299" s="55"/>
    </row>
    <row r="300" spans="5:9" ht="12.75">
      <c r="E300" s="55"/>
      <c r="F300" s="55"/>
      <c r="G300" s="55"/>
      <c r="H300" s="55"/>
      <c r="I300" s="55"/>
    </row>
    <row r="301" spans="5:9" ht="12.75">
      <c r="E301" s="55"/>
      <c r="F301" s="55"/>
      <c r="G301" s="55"/>
      <c r="H301" s="55"/>
      <c r="I301" s="55"/>
    </row>
    <row r="302" spans="5:9" ht="12.75">
      <c r="E302" s="55"/>
      <c r="F302" s="55"/>
      <c r="G302" s="55"/>
      <c r="H302" s="55"/>
      <c r="I302" s="55"/>
    </row>
    <row r="303" spans="5:9" ht="12.75">
      <c r="E303" s="55"/>
      <c r="F303" s="55"/>
      <c r="G303" s="55"/>
      <c r="H303" s="55"/>
      <c r="I303" s="55"/>
    </row>
    <row r="304" spans="5:9" ht="12.75">
      <c r="E304" s="55"/>
      <c r="F304" s="55"/>
      <c r="G304" s="55"/>
      <c r="H304" s="55"/>
      <c r="I304" s="55"/>
    </row>
    <row r="305" spans="5:9" ht="12.75">
      <c r="E305" s="55"/>
      <c r="F305" s="55"/>
      <c r="G305" s="55"/>
      <c r="H305" s="55"/>
      <c r="I305" s="55"/>
    </row>
    <row r="306" spans="5:9" ht="12.75">
      <c r="E306" s="55"/>
      <c r="F306" s="55"/>
      <c r="G306" s="55"/>
      <c r="H306" s="55"/>
      <c r="I306" s="55"/>
    </row>
    <row r="307" spans="5:9" ht="12.75">
      <c r="E307" s="55"/>
      <c r="F307" s="55"/>
      <c r="G307" s="55"/>
      <c r="H307" s="55"/>
      <c r="I307" s="55"/>
    </row>
    <row r="308" spans="5:9" ht="12.75">
      <c r="E308" s="55"/>
      <c r="F308" s="55"/>
      <c r="G308" s="55"/>
      <c r="H308" s="55"/>
      <c r="I308" s="55"/>
    </row>
    <row r="309" spans="5:9" ht="12.75">
      <c r="E309" s="55"/>
      <c r="F309" s="55"/>
      <c r="G309" s="55"/>
      <c r="H309" s="55"/>
      <c r="I309" s="55"/>
    </row>
    <row r="310" spans="5:9" ht="12.75">
      <c r="E310" s="55"/>
      <c r="F310" s="55"/>
      <c r="G310" s="55"/>
      <c r="H310" s="55"/>
      <c r="I310" s="55"/>
    </row>
    <row r="311" spans="5:9" ht="12.75">
      <c r="E311" s="55"/>
      <c r="F311" s="55"/>
      <c r="G311" s="55"/>
      <c r="H311" s="55"/>
      <c r="I311" s="55"/>
    </row>
    <row r="312" spans="5:9" ht="12.75">
      <c r="E312" s="55"/>
      <c r="F312" s="55"/>
      <c r="G312" s="55"/>
      <c r="H312" s="55"/>
      <c r="I312" s="55"/>
    </row>
    <row r="313" spans="5:9" ht="12.75">
      <c r="E313" s="55"/>
      <c r="F313" s="55"/>
      <c r="G313" s="55"/>
      <c r="H313" s="55"/>
      <c r="I313" s="55"/>
    </row>
  </sheetData>
  <mergeCells count="25">
    <mergeCell ref="G1:K1"/>
    <mergeCell ref="G2:K2"/>
    <mergeCell ref="G3:K3"/>
    <mergeCell ref="L1:O1"/>
    <mergeCell ref="L3:M3"/>
    <mergeCell ref="AJ6:AK6"/>
    <mergeCell ref="O3:P3"/>
    <mergeCell ref="E5:E7"/>
    <mergeCell ref="Q5:V5"/>
    <mergeCell ref="L6:M6"/>
    <mergeCell ref="N6:O6"/>
    <mergeCell ref="Q6:R6"/>
    <mergeCell ref="S6:T6"/>
    <mergeCell ref="U6:V6"/>
    <mergeCell ref="L5:P5"/>
    <mergeCell ref="C1:D1"/>
    <mergeCell ref="AH5:AM5"/>
    <mergeCell ref="AL6:AM6"/>
    <mergeCell ref="P6:P7"/>
    <mergeCell ref="AE6:AF6"/>
    <mergeCell ref="W6:Z6"/>
    <mergeCell ref="AA6:AD6"/>
    <mergeCell ref="G6:I6"/>
    <mergeCell ref="J6:K6"/>
    <mergeCell ref="AH6:AI6"/>
  </mergeCells>
  <conditionalFormatting sqref="C9:C133 F9:F133">
    <cfRule type="cellIs" priority="1" dxfId="2" operator="equal" stopIfTrue="1">
      <formula>"Y"</formula>
    </cfRule>
  </conditionalFormatting>
  <conditionalFormatting sqref="S9:T133 N9:O133">
    <cfRule type="expression" priority="2" dxfId="3" stopIfTrue="1">
      <formula>IF(zSalinity="Freshwater",1,0)</formula>
    </cfRule>
  </conditionalFormatting>
  <conditionalFormatting sqref="AE9:AF22">
    <cfRule type="expression" priority="3" dxfId="3" stopIfTrue="1">
      <formula>IF(zTranslatorExist="N",1,0)</formula>
    </cfRule>
  </conditionalFormatting>
  <conditionalFormatting sqref="Q9:R133 L9:M133">
    <cfRule type="expression" priority="4" dxfId="3" stopIfTrue="1">
      <formula>IF(zSalinity="Saltwater",1,0)</formula>
    </cfRule>
  </conditionalFormatting>
  <conditionalFormatting sqref="AH9:AM133">
    <cfRule type="cellIs" priority="5" dxfId="3" operator="equal" stopIfTrue="1">
      <formula>0</formula>
    </cfRule>
  </conditionalFormatting>
  <conditionalFormatting sqref="J9:K133">
    <cfRule type="expression" priority="6" dxfId="3" stopIfTrue="1">
      <formula>IF(zSSORegion="None",1,0)</formula>
    </cfRule>
  </conditionalFormatting>
  <printOptions horizontalCentered="1"/>
  <pageMargins left="0.75" right="0.75" top="1" bottom="1" header="0.5" footer="0.5"/>
  <pageSetup cellComments="asDisplayed" fitToHeight="2" fitToWidth="1" horizontalDpi="600" verticalDpi="600" orientation="landscape" scale="48" r:id="rId3"/>
  <headerFooter alignWithMargins="0">
    <oddHeader>&amp;C&amp;18Water Quality Criteria
for Reasonable Potential Analysis&amp;R&amp;18Rodeo Sanitary District
Tentative Order</oddHeader>
    <oddFooter>&amp;L&amp;13&amp;F.xls &amp;   (&amp;A&amp; )&amp;C&amp;13Page &amp;P of &amp;N&amp;R&amp;13&amp;D</oddFooter>
  </headerFooter>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R136"/>
  <sheetViews>
    <sheetView zoomScale="83" zoomScaleNormal="83" workbookViewId="0" topLeftCell="A4">
      <pane xSplit="2" ySplit="1" topLeftCell="G5" activePane="bottomRight" state="frozen"/>
      <selection pane="topLeft" activeCell="A4" sqref="A4"/>
      <selection pane="topRight" activeCell="C4" sqref="C4"/>
      <selection pane="bottomLeft" activeCell="A10" sqref="A10"/>
      <selection pane="bottomRight" activeCell="R21" sqref="R21"/>
    </sheetView>
  </sheetViews>
  <sheetFormatPr defaultColWidth="9.140625" defaultRowHeight="12.75"/>
  <cols>
    <col min="1" max="1" width="9.140625" style="70" customWidth="1"/>
    <col min="2" max="2" width="20.8515625" style="70" customWidth="1"/>
    <col min="3" max="4" width="9.140625" style="70" customWidth="1"/>
    <col min="5" max="5" width="10.8515625" style="70" customWidth="1"/>
    <col min="6" max="6" width="9.140625" style="70" customWidth="1"/>
    <col min="7" max="7" width="15.00390625" style="70" customWidth="1"/>
    <col min="8" max="8" width="0.9921875" style="70" customWidth="1"/>
    <col min="9" max="10" width="9.140625" style="70" customWidth="1"/>
    <col min="11" max="11" width="10.8515625" style="70" customWidth="1"/>
    <col min="12" max="12" width="12.57421875" style="70" customWidth="1"/>
    <col min="13" max="13" width="12.140625" style="70" customWidth="1"/>
    <col min="14" max="14" width="10.140625" style="70" customWidth="1"/>
    <col min="15" max="15" width="15.00390625" style="70" customWidth="1"/>
    <col min="16" max="16" width="1.7109375" style="70" customWidth="1"/>
    <col min="17" max="17" width="12.421875" style="70" customWidth="1"/>
    <col min="18" max="18" width="12.00390625" style="70" customWidth="1"/>
    <col min="19" max="16384" width="9.140625" style="70" customWidth="1"/>
  </cols>
  <sheetData>
    <row r="1" spans="1:2" ht="12.75" customHeight="1" thickBot="1">
      <c r="A1" s="607"/>
      <c r="B1" s="607"/>
    </row>
    <row r="2" spans="1:18" ht="12.75" customHeight="1" thickBot="1" thickTop="1">
      <c r="A2" s="608"/>
      <c r="B2" s="609"/>
      <c r="C2" s="750" t="s">
        <v>486</v>
      </c>
      <c r="D2" s="696"/>
      <c r="E2" s="696"/>
      <c r="F2" s="696"/>
      <c r="G2" s="696"/>
      <c r="H2" s="89"/>
      <c r="I2" s="751" t="s">
        <v>230</v>
      </c>
      <c r="J2" s="696"/>
      <c r="K2" s="696"/>
      <c r="L2" s="696"/>
      <c r="M2" s="696"/>
      <c r="N2" s="696"/>
      <c r="O2" s="752"/>
      <c r="P2" s="89"/>
      <c r="Q2" s="755" t="s">
        <v>487</v>
      </c>
      <c r="R2" s="756"/>
    </row>
    <row r="3" spans="1:18" ht="26.25" customHeight="1" thickTop="1">
      <c r="A3" s="744" t="s">
        <v>278</v>
      </c>
      <c r="B3" s="753" t="s">
        <v>36</v>
      </c>
      <c r="C3" s="748" t="s">
        <v>143</v>
      </c>
      <c r="D3" s="748" t="s">
        <v>144</v>
      </c>
      <c r="E3" s="748" t="s">
        <v>220</v>
      </c>
      <c r="F3" s="748" t="s">
        <v>221</v>
      </c>
      <c r="G3" s="135"/>
      <c r="H3" s="90"/>
      <c r="I3" s="746" t="s">
        <v>227</v>
      </c>
      <c r="J3" s="748" t="s">
        <v>228</v>
      </c>
      <c r="K3" s="748" t="s">
        <v>220</v>
      </c>
      <c r="L3" s="139"/>
      <c r="M3" s="139"/>
      <c r="N3" s="139"/>
      <c r="O3" s="137"/>
      <c r="P3" s="90"/>
      <c r="Q3" s="447"/>
      <c r="R3" s="445"/>
    </row>
    <row r="4" spans="1:18" ht="64.5" customHeight="1" thickBot="1">
      <c r="A4" s="745"/>
      <c r="B4" s="754"/>
      <c r="C4" s="749"/>
      <c r="D4" s="749"/>
      <c r="E4" s="749"/>
      <c r="F4" s="749"/>
      <c r="G4" s="136" t="s">
        <v>226</v>
      </c>
      <c r="H4" s="91"/>
      <c r="I4" s="747"/>
      <c r="J4" s="749"/>
      <c r="K4" s="749"/>
      <c r="L4" s="134" t="s">
        <v>229</v>
      </c>
      <c r="M4" s="300" t="s">
        <v>436</v>
      </c>
      <c r="N4" s="300" t="s">
        <v>477</v>
      </c>
      <c r="O4" s="138" t="s">
        <v>226</v>
      </c>
      <c r="P4" s="91"/>
      <c r="Q4" s="443" t="s">
        <v>478</v>
      </c>
      <c r="R4" s="446" t="s">
        <v>226</v>
      </c>
    </row>
    <row r="5" spans="1:18" ht="12" thickTop="1">
      <c r="A5" s="610">
        <f>Criteria!A9</f>
        <v>1</v>
      </c>
      <c r="B5" s="611" t="str">
        <f>Criteria!B9</f>
        <v>Antimony</v>
      </c>
      <c r="C5" s="612" t="s">
        <v>47</v>
      </c>
      <c r="D5" s="612" t="s">
        <v>48</v>
      </c>
      <c r="E5" s="612"/>
      <c r="F5" s="612">
        <v>0.47</v>
      </c>
      <c r="G5" s="331">
        <f aca="true" t="shared" si="0" ref="G5:G69">IF(C5="","Check input1",IF(C5="Y",IF(D5="","Check input2",IF(D5="Y",IF(E5="","Check input3",IF(F5="","","Check input4")),IF(E5="",IF(F5="","Check input5",""),"Check input6"))),IF(D5="",IF(E5="",IF(F5="","","Check input7"),"Check input8"),"Check input9")))</f>
      </c>
      <c r="H5" s="91"/>
      <c r="I5" s="203" t="s">
        <v>47</v>
      </c>
      <c r="J5" s="71" t="s">
        <v>48</v>
      </c>
      <c r="K5" s="71" t="s">
        <v>261</v>
      </c>
      <c r="L5" s="174">
        <v>1.8</v>
      </c>
      <c r="M5" s="308">
        <f>IF(I5="N","",IF(J5="N",L5,K5))</f>
        <v>1.8</v>
      </c>
      <c r="N5" s="338" t="s">
        <v>261</v>
      </c>
      <c r="O5" s="308">
        <f aca="true" t="shared" si="1" ref="O5:O69">IF(I5="","Check input1",IF(I5="Y",IF(J5="","Check input2",IF(J5="Y",IF(K5="","Check input3",IF(L5="","","Check input4")),IF(K5="",IF(L5="","Check input5",""),"Check input6"))),IF(J5="",IF(K5="",IF(L5="","","Check input7"),"Check input8"),"Check input9")))</f>
      </c>
      <c r="P5" s="91"/>
      <c r="Q5" s="336" t="s">
        <v>463</v>
      </c>
      <c r="R5" s="533">
        <f>IF(AND(Q5&lt;&gt;"No",Q5&lt;&gt;"Yes"),"Enter Yes or No","")</f>
      </c>
    </row>
    <row r="6" spans="1:18" ht="11.25">
      <c r="A6" s="429">
        <f>Criteria!A10</f>
        <v>2</v>
      </c>
      <c r="B6" s="72" t="str">
        <f>Criteria!B10</f>
        <v>Arsenic</v>
      </c>
      <c r="C6" s="164" t="s">
        <v>47</v>
      </c>
      <c r="D6" s="164" t="s">
        <v>48</v>
      </c>
      <c r="E6" s="164"/>
      <c r="F6" s="164">
        <v>8.2</v>
      </c>
      <c r="G6" s="331">
        <f t="shared" si="0"/>
      </c>
      <c r="H6" s="91"/>
      <c r="I6" s="204" t="s">
        <v>47</v>
      </c>
      <c r="J6" s="73" t="s">
        <v>48</v>
      </c>
      <c r="K6" s="73" t="s">
        <v>261</v>
      </c>
      <c r="L6" s="174">
        <v>2.46</v>
      </c>
      <c r="M6" s="308">
        <f aca="true" t="shared" si="2" ref="M6:M70">IF(I6="N","",IF(J6="N",L6,K6))</f>
        <v>2.46</v>
      </c>
      <c r="N6" s="333" t="s">
        <v>261</v>
      </c>
      <c r="O6" s="308">
        <f t="shared" si="1"/>
      </c>
      <c r="P6" s="91"/>
      <c r="Q6" s="336" t="s">
        <v>463</v>
      </c>
      <c r="R6" s="534">
        <f aca="true" t="shared" si="3" ref="R6:R70">IF(AND(Q6&lt;&gt;"No",Q6&lt;&gt;"Yes"),"ERROR","")</f>
      </c>
    </row>
    <row r="7" spans="1:18" ht="11.25">
      <c r="A7" s="429">
        <f>Criteria!A11</f>
        <v>3</v>
      </c>
      <c r="B7" s="72" t="str">
        <f>Criteria!B11</f>
        <v>Beryllium</v>
      </c>
      <c r="C7" s="164" t="s">
        <v>47</v>
      </c>
      <c r="D7" s="164" t="s">
        <v>47</v>
      </c>
      <c r="E7" s="164">
        <v>0.06</v>
      </c>
      <c r="F7" s="164"/>
      <c r="G7" s="331">
        <f t="shared" si="0"/>
      </c>
      <c r="H7" s="91"/>
      <c r="I7" s="204" t="s">
        <v>47</v>
      </c>
      <c r="J7" s="73" t="s">
        <v>48</v>
      </c>
      <c r="K7" s="73" t="s">
        <v>261</v>
      </c>
      <c r="L7" s="174">
        <v>0.215</v>
      </c>
      <c r="M7" s="308">
        <f t="shared" si="2"/>
        <v>0.215</v>
      </c>
      <c r="N7" s="333" t="s">
        <v>261</v>
      </c>
      <c r="O7" s="308">
        <f t="shared" si="1"/>
      </c>
      <c r="P7" s="91"/>
      <c r="Q7" s="336" t="s">
        <v>463</v>
      </c>
      <c r="R7" s="534">
        <f t="shared" si="3"/>
      </c>
    </row>
    <row r="8" spans="1:18" ht="11.25">
      <c r="A8" s="429">
        <f>Criteria!A12</f>
        <v>4</v>
      </c>
      <c r="B8" s="72" t="str">
        <f>Criteria!B12</f>
        <v>Cadmium</v>
      </c>
      <c r="C8" s="164" t="s">
        <v>47</v>
      </c>
      <c r="D8" s="164" t="s">
        <v>47</v>
      </c>
      <c r="E8" s="164">
        <v>0.1</v>
      </c>
      <c r="F8" s="164"/>
      <c r="G8" s="331">
        <f t="shared" si="0"/>
      </c>
      <c r="H8" s="91"/>
      <c r="I8" s="204" t="s">
        <v>47</v>
      </c>
      <c r="J8" s="73" t="s">
        <v>48</v>
      </c>
      <c r="K8" s="73" t="s">
        <v>261</v>
      </c>
      <c r="L8" s="174">
        <v>0.1268</v>
      </c>
      <c r="M8" s="308">
        <f t="shared" si="2"/>
        <v>0.1268</v>
      </c>
      <c r="N8" s="333" t="s">
        <v>261</v>
      </c>
      <c r="O8" s="308">
        <f t="shared" si="1"/>
      </c>
      <c r="P8" s="91"/>
      <c r="Q8" s="336" t="s">
        <v>463</v>
      </c>
      <c r="R8" s="534">
        <f t="shared" si="3"/>
      </c>
    </row>
    <row r="9" spans="1:18" ht="11.25">
      <c r="A9" s="429">
        <f>Criteria!A13</f>
        <v>5.1</v>
      </c>
      <c r="B9" s="72" t="str">
        <f>Criteria!B13</f>
        <v>Chromium (III) or total</v>
      </c>
      <c r="C9" s="164" t="s">
        <v>48</v>
      </c>
      <c r="D9" s="164"/>
      <c r="E9" s="164"/>
      <c r="F9" s="164"/>
      <c r="G9" s="331">
        <f t="shared" si="0"/>
      </c>
      <c r="H9" s="91"/>
      <c r="I9" s="204" t="s">
        <v>48</v>
      </c>
      <c r="J9" s="75"/>
      <c r="K9" s="75"/>
      <c r="L9" s="174"/>
      <c r="M9" s="308">
        <f t="shared" si="2"/>
      </c>
      <c r="N9" s="333" t="s">
        <v>261</v>
      </c>
      <c r="O9" s="308">
        <f t="shared" si="1"/>
      </c>
      <c r="P9" s="91"/>
      <c r="Q9" s="336" t="s">
        <v>463</v>
      </c>
      <c r="R9" s="534">
        <f t="shared" si="3"/>
      </c>
    </row>
    <row r="10" spans="1:18" ht="11.25">
      <c r="A10" s="429">
        <f>Criteria!A14</f>
        <v>5.2</v>
      </c>
      <c r="B10" s="72" t="str">
        <f>Criteria!B14</f>
        <v>Chromium (VI)</v>
      </c>
      <c r="C10" s="164" t="s">
        <v>47</v>
      </c>
      <c r="D10" s="164" t="s">
        <v>48</v>
      </c>
      <c r="E10" s="164"/>
      <c r="F10" s="164">
        <v>1.2</v>
      </c>
      <c r="G10" s="331">
        <f t="shared" si="0"/>
      </c>
      <c r="H10" s="91"/>
      <c r="I10" s="204" t="s">
        <v>47</v>
      </c>
      <c r="J10" s="73" t="s">
        <v>48</v>
      </c>
      <c r="K10" s="75" t="s">
        <v>261</v>
      </c>
      <c r="L10" s="174">
        <v>4.4</v>
      </c>
      <c r="M10" s="308">
        <f t="shared" si="2"/>
        <v>4.4</v>
      </c>
      <c r="N10" s="333" t="s">
        <v>261</v>
      </c>
      <c r="O10" s="308">
        <f t="shared" si="1"/>
      </c>
      <c r="P10" s="91"/>
      <c r="Q10" s="336" t="s">
        <v>463</v>
      </c>
      <c r="R10" s="534">
        <f t="shared" si="3"/>
      </c>
    </row>
    <row r="11" spans="1:18" ht="11.25">
      <c r="A11" s="429">
        <f>Criteria!A15</f>
        <v>6</v>
      </c>
      <c r="B11" s="76" t="str">
        <f>Criteria!B15</f>
        <v>Copper </v>
      </c>
      <c r="C11" s="164" t="s">
        <v>47</v>
      </c>
      <c r="D11" s="164" t="s">
        <v>48</v>
      </c>
      <c r="E11" s="164"/>
      <c r="F11" s="164">
        <v>6.5</v>
      </c>
      <c r="G11" s="331">
        <f t="shared" si="0"/>
      </c>
      <c r="H11" s="91"/>
      <c r="I11" s="204" t="s">
        <v>47</v>
      </c>
      <c r="J11" s="73" t="s">
        <v>48</v>
      </c>
      <c r="K11" s="77" t="s">
        <v>261</v>
      </c>
      <c r="L11" s="174">
        <v>2.45</v>
      </c>
      <c r="M11" s="308">
        <f t="shared" si="2"/>
        <v>2.45</v>
      </c>
      <c r="N11" s="333" t="s">
        <v>261</v>
      </c>
      <c r="O11" s="308">
        <f t="shared" si="1"/>
      </c>
      <c r="P11" s="91"/>
      <c r="Q11" s="336" t="s">
        <v>463</v>
      </c>
      <c r="R11" s="534">
        <f t="shared" si="3"/>
      </c>
    </row>
    <row r="12" spans="1:18" ht="11.25">
      <c r="A12" s="429">
        <f>Criteria!A16</f>
        <v>7</v>
      </c>
      <c r="B12" s="72" t="str">
        <f>Criteria!B16</f>
        <v>Lead</v>
      </c>
      <c r="C12" s="164" t="s">
        <v>47</v>
      </c>
      <c r="D12" s="164" t="s">
        <v>48</v>
      </c>
      <c r="E12" s="164"/>
      <c r="F12" s="164">
        <v>0.57</v>
      </c>
      <c r="G12" s="331">
        <f t="shared" si="0"/>
      </c>
      <c r="H12" s="91"/>
      <c r="I12" s="204" t="s">
        <v>47</v>
      </c>
      <c r="J12" s="73" t="s">
        <v>48</v>
      </c>
      <c r="K12" s="75" t="s">
        <v>261</v>
      </c>
      <c r="L12" s="174">
        <v>0.8</v>
      </c>
      <c r="M12" s="308">
        <f t="shared" si="2"/>
        <v>0.8</v>
      </c>
      <c r="N12" s="333" t="s">
        <v>261</v>
      </c>
      <c r="O12" s="308">
        <f t="shared" si="1"/>
      </c>
      <c r="P12" s="91"/>
      <c r="Q12" s="336" t="s">
        <v>463</v>
      </c>
      <c r="R12" s="534">
        <f t="shared" si="3"/>
      </c>
    </row>
    <row r="13" spans="1:18" ht="11.25">
      <c r="A13" s="429">
        <f>Criteria!A17</f>
        <v>8</v>
      </c>
      <c r="B13" s="76" t="str">
        <f>Criteria!B17</f>
        <v>Mercury</v>
      </c>
      <c r="C13" s="164" t="s">
        <v>47</v>
      </c>
      <c r="D13" s="164" t="s">
        <v>48</v>
      </c>
      <c r="E13" s="164"/>
      <c r="F13" s="164">
        <v>0.014</v>
      </c>
      <c r="G13" s="331">
        <f t="shared" si="0"/>
      </c>
      <c r="H13" s="91"/>
      <c r="I13" s="204" t="s">
        <v>47</v>
      </c>
      <c r="J13" s="73" t="s">
        <v>48</v>
      </c>
      <c r="K13" s="75" t="s">
        <v>261</v>
      </c>
      <c r="L13" s="174">
        <v>0.0086</v>
      </c>
      <c r="M13" s="308">
        <f t="shared" si="2"/>
        <v>0.0086</v>
      </c>
      <c r="N13" s="333">
        <v>0.0086</v>
      </c>
      <c r="O13" s="308">
        <f t="shared" si="1"/>
      </c>
      <c r="P13" s="91"/>
      <c r="Q13" s="336" t="s">
        <v>435</v>
      </c>
      <c r="R13" s="534">
        <f t="shared" si="3"/>
      </c>
    </row>
    <row r="14" spans="1:18" ht="11.25">
      <c r="A14" s="429">
        <f>Criteria!A18</f>
        <v>9</v>
      </c>
      <c r="B14" s="78" t="str">
        <f>Criteria!B18</f>
        <v>Nickel</v>
      </c>
      <c r="C14" s="164" t="s">
        <v>47</v>
      </c>
      <c r="D14" s="164" t="s">
        <v>48</v>
      </c>
      <c r="E14" s="164"/>
      <c r="F14" s="164">
        <v>6</v>
      </c>
      <c r="G14" s="331">
        <f t="shared" si="0"/>
      </c>
      <c r="H14" s="91"/>
      <c r="I14" s="204" t="s">
        <v>47</v>
      </c>
      <c r="J14" s="73" t="s">
        <v>48</v>
      </c>
      <c r="K14" s="75" t="s">
        <v>261</v>
      </c>
      <c r="L14" s="174">
        <v>3.7</v>
      </c>
      <c r="M14" s="308">
        <f t="shared" si="2"/>
        <v>3.7</v>
      </c>
      <c r="N14" s="333" t="s">
        <v>261</v>
      </c>
      <c r="O14" s="308">
        <f t="shared" si="1"/>
      </c>
      <c r="P14" s="91"/>
      <c r="Q14" s="336" t="s">
        <v>463</v>
      </c>
      <c r="R14" s="534">
        <f t="shared" si="3"/>
      </c>
    </row>
    <row r="15" spans="1:18" ht="11.25">
      <c r="A15" s="429">
        <f>Criteria!A19</f>
        <v>10</v>
      </c>
      <c r="B15" s="76" t="str">
        <f>Criteria!B19</f>
        <v>Selenium</v>
      </c>
      <c r="C15" s="164" t="s">
        <v>47</v>
      </c>
      <c r="D15" s="164" t="s">
        <v>48</v>
      </c>
      <c r="E15" s="164"/>
      <c r="F15" s="164">
        <v>1.1</v>
      </c>
      <c r="G15" s="331">
        <f t="shared" si="0"/>
      </c>
      <c r="H15" s="91"/>
      <c r="I15" s="204" t="s">
        <v>47</v>
      </c>
      <c r="J15" s="73" t="s">
        <v>48</v>
      </c>
      <c r="K15" s="75" t="s">
        <v>261</v>
      </c>
      <c r="L15" s="174">
        <v>0.39</v>
      </c>
      <c r="M15" s="308">
        <f t="shared" si="2"/>
        <v>0.39</v>
      </c>
      <c r="N15" s="333" t="s">
        <v>261</v>
      </c>
      <c r="O15" s="308">
        <f t="shared" si="1"/>
      </c>
      <c r="P15" s="91"/>
      <c r="Q15" s="336" t="s">
        <v>463</v>
      </c>
      <c r="R15" s="534">
        <f t="shared" si="3"/>
      </c>
    </row>
    <row r="16" spans="1:18" ht="11.25">
      <c r="A16" s="429">
        <f>Criteria!A20</f>
        <v>11</v>
      </c>
      <c r="B16" s="79" t="str">
        <f>Criteria!B20</f>
        <v>Silver</v>
      </c>
      <c r="C16" s="164" t="s">
        <v>47</v>
      </c>
      <c r="D16" s="164" t="s">
        <v>48</v>
      </c>
      <c r="E16" s="164"/>
      <c r="F16" s="164">
        <v>0.1</v>
      </c>
      <c r="G16" s="331">
        <f t="shared" si="0"/>
      </c>
      <c r="H16" s="91"/>
      <c r="I16" s="204" t="s">
        <v>47</v>
      </c>
      <c r="J16" s="73" t="s">
        <v>48</v>
      </c>
      <c r="K16" s="75" t="s">
        <v>261</v>
      </c>
      <c r="L16" s="174">
        <v>0.0516</v>
      </c>
      <c r="M16" s="308">
        <f t="shared" si="2"/>
        <v>0.0516</v>
      </c>
      <c r="N16" s="333" t="s">
        <v>261</v>
      </c>
      <c r="O16" s="308">
        <f t="shared" si="1"/>
      </c>
      <c r="P16" s="91"/>
      <c r="Q16" s="336" t="s">
        <v>463</v>
      </c>
      <c r="R16" s="534">
        <f t="shared" si="3"/>
      </c>
    </row>
    <row r="17" spans="1:18" ht="11.25">
      <c r="A17" s="429">
        <f>Criteria!A21</f>
        <v>12</v>
      </c>
      <c r="B17" s="72" t="str">
        <f>Criteria!B21</f>
        <v>Thallium</v>
      </c>
      <c r="C17" s="164" t="s">
        <v>47</v>
      </c>
      <c r="D17" s="164" t="s">
        <v>48</v>
      </c>
      <c r="E17" s="164"/>
      <c r="F17" s="164">
        <v>0.06</v>
      </c>
      <c r="G17" s="331">
        <f t="shared" si="0"/>
      </c>
      <c r="H17" s="91"/>
      <c r="I17" s="204" t="s">
        <v>47</v>
      </c>
      <c r="J17" s="75" t="s">
        <v>48</v>
      </c>
      <c r="K17" s="75" t="s">
        <v>261</v>
      </c>
      <c r="L17" s="301">
        <v>0.21</v>
      </c>
      <c r="M17" s="309">
        <f t="shared" si="2"/>
        <v>0.21</v>
      </c>
      <c r="N17" s="333" t="s">
        <v>261</v>
      </c>
      <c r="O17" s="308">
        <f t="shared" si="1"/>
      </c>
      <c r="P17" s="91"/>
      <c r="Q17" s="336" t="s">
        <v>463</v>
      </c>
      <c r="R17" s="534">
        <f t="shared" si="3"/>
      </c>
    </row>
    <row r="18" spans="1:18" ht="11.25">
      <c r="A18" s="429">
        <f>Criteria!A22</f>
        <v>13</v>
      </c>
      <c r="B18" s="76" t="str">
        <f>Criteria!B22</f>
        <v>Zinc</v>
      </c>
      <c r="C18" s="164" t="s">
        <v>47</v>
      </c>
      <c r="D18" s="164" t="s">
        <v>48</v>
      </c>
      <c r="E18" s="164"/>
      <c r="F18" s="164">
        <v>68</v>
      </c>
      <c r="G18" s="331">
        <f t="shared" si="0"/>
      </c>
      <c r="H18" s="91"/>
      <c r="I18" s="204" t="s">
        <v>47</v>
      </c>
      <c r="J18" s="73" t="s">
        <v>48</v>
      </c>
      <c r="K18" s="73" t="s">
        <v>261</v>
      </c>
      <c r="L18" s="301">
        <v>4.4</v>
      </c>
      <c r="M18" s="309">
        <f t="shared" si="2"/>
        <v>4.4</v>
      </c>
      <c r="N18" s="333" t="s">
        <v>261</v>
      </c>
      <c r="O18" s="308">
        <f t="shared" si="1"/>
      </c>
      <c r="P18" s="91"/>
      <c r="Q18" s="336" t="s">
        <v>463</v>
      </c>
      <c r="R18" s="534">
        <f t="shared" si="3"/>
      </c>
    </row>
    <row r="19" spans="1:18" ht="11.25">
      <c r="A19" s="429">
        <f>Criteria!A23</f>
        <v>14</v>
      </c>
      <c r="B19" s="76" t="str">
        <f>Criteria!B23</f>
        <v>Cyanide</v>
      </c>
      <c r="C19" s="164" t="s">
        <v>47</v>
      </c>
      <c r="D19" s="164" t="s">
        <v>48</v>
      </c>
      <c r="E19" s="164"/>
      <c r="F19" s="164">
        <v>8</v>
      </c>
      <c r="G19" s="331">
        <f t="shared" si="0"/>
      </c>
      <c r="H19" s="91"/>
      <c r="I19" s="204" t="s">
        <v>47</v>
      </c>
      <c r="J19" s="73" t="s">
        <v>47</v>
      </c>
      <c r="K19" s="73">
        <v>0.4</v>
      </c>
      <c r="L19" s="301" t="s">
        <v>261</v>
      </c>
      <c r="M19" s="309">
        <f t="shared" si="2"/>
        <v>0.4</v>
      </c>
      <c r="N19" s="333" t="s">
        <v>261</v>
      </c>
      <c r="O19" s="308">
        <f t="shared" si="1"/>
      </c>
      <c r="P19" s="91"/>
      <c r="Q19" s="336" t="s">
        <v>463</v>
      </c>
      <c r="R19" s="534">
        <f t="shared" si="3"/>
      </c>
    </row>
    <row r="20" spans="1:18" ht="11.25">
      <c r="A20" s="429">
        <f>Criteria!A24</f>
        <v>15</v>
      </c>
      <c r="B20" s="72" t="str">
        <f>Criteria!B24</f>
        <v>Asbestos</v>
      </c>
      <c r="C20" s="164" t="s">
        <v>48</v>
      </c>
      <c r="D20" s="164"/>
      <c r="E20" s="164"/>
      <c r="F20" s="164"/>
      <c r="G20" s="331">
        <f t="shared" si="0"/>
      </c>
      <c r="H20" s="91"/>
      <c r="I20" s="204" t="s">
        <v>48</v>
      </c>
      <c r="J20" s="73"/>
      <c r="K20" s="73"/>
      <c r="L20" s="301"/>
      <c r="M20" s="309">
        <f t="shared" si="2"/>
      </c>
      <c r="N20" s="333" t="s">
        <v>261</v>
      </c>
      <c r="O20" s="308">
        <f t="shared" si="1"/>
      </c>
      <c r="P20" s="91"/>
      <c r="Q20" s="336" t="s">
        <v>463</v>
      </c>
      <c r="R20" s="534">
        <f t="shared" si="3"/>
      </c>
    </row>
    <row r="21" spans="1:18" ht="11.25">
      <c r="A21" s="431">
        <v>16</v>
      </c>
      <c r="B21" s="785" t="s">
        <v>672</v>
      </c>
      <c r="C21" s="164" t="s">
        <v>47</v>
      </c>
      <c r="D21" s="164" t="s">
        <v>47</v>
      </c>
      <c r="E21" s="164" t="s">
        <v>673</v>
      </c>
      <c r="F21" s="164"/>
      <c r="G21" s="331">
        <f t="shared" si="0"/>
      </c>
      <c r="H21" s="91"/>
      <c r="I21" s="204" t="s">
        <v>47</v>
      </c>
      <c r="J21" s="73" t="s">
        <v>47</v>
      </c>
      <c r="K21" s="73" t="s">
        <v>674</v>
      </c>
      <c r="L21" s="301"/>
      <c r="M21" s="309" t="str">
        <f t="shared" si="2"/>
        <v>3.5 E-07</v>
      </c>
      <c r="N21" s="333"/>
      <c r="O21" s="308">
        <f t="shared" si="1"/>
      </c>
      <c r="P21" s="91"/>
      <c r="Q21" s="336" t="s">
        <v>463</v>
      </c>
      <c r="R21" s="534">
        <f t="shared" si="3"/>
      </c>
    </row>
    <row r="22" spans="1:18" ht="11.25">
      <c r="A22" s="430"/>
      <c r="B22" s="80" t="str">
        <f>Criteria!B26</f>
        <v>Dioxin-TEQ</v>
      </c>
      <c r="C22" s="164" t="s">
        <v>47</v>
      </c>
      <c r="D22" s="164" t="s">
        <v>48</v>
      </c>
      <c r="E22" s="164"/>
      <c r="F22" s="164">
        <v>4.1369000000000005E-08</v>
      </c>
      <c r="G22" s="331">
        <f t="shared" si="0"/>
      </c>
      <c r="H22" s="91"/>
      <c r="I22" s="204" t="s">
        <v>47</v>
      </c>
      <c r="J22" s="73" t="s">
        <v>48</v>
      </c>
      <c r="K22" s="73"/>
      <c r="L22" s="302">
        <v>7.1E-08</v>
      </c>
      <c r="M22" s="310">
        <f t="shared" si="2"/>
        <v>7.1E-08</v>
      </c>
      <c r="N22" s="334">
        <v>7.1E-08</v>
      </c>
      <c r="O22" s="308">
        <f t="shared" si="1"/>
      </c>
      <c r="P22" s="91"/>
      <c r="Q22" s="336" t="s">
        <v>463</v>
      </c>
      <c r="R22" s="534">
        <f t="shared" si="3"/>
      </c>
    </row>
    <row r="23" spans="1:18" ht="11.25">
      <c r="A23" s="429">
        <f>Criteria!A27</f>
        <v>17</v>
      </c>
      <c r="B23" s="72" t="str">
        <f>Criteria!B27</f>
        <v>Acrolein</v>
      </c>
      <c r="C23" s="164" t="s">
        <v>47</v>
      </c>
      <c r="D23" s="164" t="s">
        <v>47</v>
      </c>
      <c r="E23" s="164">
        <v>0.56</v>
      </c>
      <c r="F23" s="164"/>
      <c r="G23" s="331">
        <f t="shared" si="0"/>
      </c>
      <c r="H23" s="91"/>
      <c r="I23" s="204" t="s">
        <v>47</v>
      </c>
      <c r="J23" s="73" t="s">
        <v>47</v>
      </c>
      <c r="K23" s="73">
        <v>0.5</v>
      </c>
      <c r="L23" s="301" t="s">
        <v>261</v>
      </c>
      <c r="M23" s="309">
        <f t="shared" si="2"/>
        <v>0.5</v>
      </c>
      <c r="N23" s="333" t="s">
        <v>261</v>
      </c>
      <c r="O23" s="308">
        <f t="shared" si="1"/>
      </c>
      <c r="P23" s="91"/>
      <c r="Q23" s="336" t="s">
        <v>463</v>
      </c>
      <c r="R23" s="534">
        <f t="shared" si="3"/>
      </c>
    </row>
    <row r="24" spans="1:18" ht="11.25">
      <c r="A24" s="429">
        <f>Criteria!A28</f>
        <v>18</v>
      </c>
      <c r="B24" s="72" t="str">
        <f>Criteria!B28</f>
        <v>Acrylonitrile</v>
      </c>
      <c r="C24" s="164" t="s">
        <v>47</v>
      </c>
      <c r="D24" s="164" t="s">
        <v>47</v>
      </c>
      <c r="E24" s="164">
        <v>0.33</v>
      </c>
      <c r="F24" s="164"/>
      <c r="G24" s="331">
        <f t="shared" si="0"/>
      </c>
      <c r="H24" s="91"/>
      <c r="I24" s="204" t="s">
        <v>47</v>
      </c>
      <c r="J24" s="73" t="s">
        <v>48</v>
      </c>
      <c r="K24" s="73" t="s">
        <v>261</v>
      </c>
      <c r="L24" s="301">
        <v>0.03</v>
      </c>
      <c r="M24" s="309">
        <f t="shared" si="2"/>
        <v>0.03</v>
      </c>
      <c r="N24" s="333" t="s">
        <v>261</v>
      </c>
      <c r="O24" s="308">
        <f t="shared" si="1"/>
      </c>
      <c r="P24" s="91"/>
      <c r="Q24" s="336" t="s">
        <v>463</v>
      </c>
      <c r="R24" s="534">
        <f t="shared" si="3"/>
      </c>
    </row>
    <row r="25" spans="1:18" ht="11.25">
      <c r="A25" s="429">
        <f>Criteria!A29</f>
        <v>19</v>
      </c>
      <c r="B25" s="72" t="str">
        <f>Criteria!B29</f>
        <v>Benzene</v>
      </c>
      <c r="C25" s="164" t="s">
        <v>47</v>
      </c>
      <c r="D25" s="164" t="s">
        <v>47</v>
      </c>
      <c r="E25" s="164">
        <v>0.06</v>
      </c>
      <c r="F25" s="164"/>
      <c r="G25" s="331">
        <f t="shared" si="0"/>
      </c>
      <c r="H25" s="91"/>
      <c r="I25" s="204" t="s">
        <v>47</v>
      </c>
      <c r="J25" s="73" t="s">
        <v>47</v>
      </c>
      <c r="K25" s="73">
        <v>0.05</v>
      </c>
      <c r="L25" s="301" t="s">
        <v>261</v>
      </c>
      <c r="M25" s="309">
        <f t="shared" si="2"/>
        <v>0.05</v>
      </c>
      <c r="N25" s="333" t="s">
        <v>261</v>
      </c>
      <c r="O25" s="308">
        <f t="shared" si="1"/>
      </c>
      <c r="P25" s="91"/>
      <c r="Q25" s="336" t="s">
        <v>463</v>
      </c>
      <c r="R25" s="534">
        <f t="shared" si="3"/>
      </c>
    </row>
    <row r="26" spans="1:18" ht="11.25">
      <c r="A26" s="429">
        <f>Criteria!A30</f>
        <v>20</v>
      </c>
      <c r="B26" s="72" t="str">
        <f>Criteria!B30</f>
        <v>Bromoform</v>
      </c>
      <c r="C26" s="164" t="s">
        <v>47</v>
      </c>
      <c r="D26" s="164" t="s">
        <v>48</v>
      </c>
      <c r="E26" s="164"/>
      <c r="F26" s="164">
        <v>1.2</v>
      </c>
      <c r="G26" s="331">
        <f t="shared" si="0"/>
      </c>
      <c r="H26" s="91"/>
      <c r="I26" s="204" t="s">
        <v>47</v>
      </c>
      <c r="J26" s="73" t="s">
        <v>47</v>
      </c>
      <c r="K26" s="73">
        <v>0.5</v>
      </c>
      <c r="L26" s="301" t="s">
        <v>261</v>
      </c>
      <c r="M26" s="309">
        <f t="shared" si="2"/>
        <v>0.5</v>
      </c>
      <c r="N26" s="333" t="s">
        <v>261</v>
      </c>
      <c r="O26" s="308">
        <f t="shared" si="1"/>
      </c>
      <c r="P26" s="91"/>
      <c r="Q26" s="336" t="s">
        <v>463</v>
      </c>
      <c r="R26" s="534">
        <f t="shared" si="3"/>
      </c>
    </row>
    <row r="27" spans="1:18" ht="11.25">
      <c r="A27" s="429">
        <f>Criteria!A31</f>
        <v>21</v>
      </c>
      <c r="B27" s="72" t="str">
        <f>Criteria!B31</f>
        <v>Carbon Tetrachloride</v>
      </c>
      <c r="C27" s="164" t="s">
        <v>47</v>
      </c>
      <c r="D27" s="164" t="s">
        <v>47</v>
      </c>
      <c r="E27" s="164">
        <v>0.06</v>
      </c>
      <c r="F27" s="164"/>
      <c r="G27" s="331">
        <f t="shared" si="0"/>
      </c>
      <c r="H27" s="91"/>
      <c r="I27" s="204" t="s">
        <v>47</v>
      </c>
      <c r="J27" s="73" t="s">
        <v>48</v>
      </c>
      <c r="K27" s="73" t="s">
        <v>261</v>
      </c>
      <c r="L27" s="301">
        <v>0.06</v>
      </c>
      <c r="M27" s="309">
        <f t="shared" si="2"/>
        <v>0.06</v>
      </c>
      <c r="N27" s="333" t="s">
        <v>261</v>
      </c>
      <c r="O27" s="308">
        <f t="shared" si="1"/>
      </c>
      <c r="P27" s="91"/>
      <c r="Q27" s="336" t="s">
        <v>463</v>
      </c>
      <c r="R27" s="534">
        <f t="shared" si="3"/>
      </c>
    </row>
    <row r="28" spans="1:18" ht="11.25">
      <c r="A28" s="429">
        <f>Criteria!A32</f>
        <v>22</v>
      </c>
      <c r="B28" s="72" t="str">
        <f>Criteria!B32</f>
        <v>Chlorobenzene</v>
      </c>
      <c r="C28" s="164" t="s">
        <v>47</v>
      </c>
      <c r="D28" s="164" t="s">
        <v>47</v>
      </c>
      <c r="E28" s="164">
        <v>0.06</v>
      </c>
      <c r="F28" s="164"/>
      <c r="G28" s="331">
        <f t="shared" si="0"/>
      </c>
      <c r="H28" s="91"/>
      <c r="I28" s="204" t="s">
        <v>47</v>
      </c>
      <c r="J28" s="73" t="s">
        <v>47</v>
      </c>
      <c r="K28" s="73">
        <v>0.5</v>
      </c>
      <c r="L28" s="301" t="s">
        <v>261</v>
      </c>
      <c r="M28" s="309">
        <f t="shared" si="2"/>
        <v>0.5</v>
      </c>
      <c r="N28" s="333" t="s">
        <v>261</v>
      </c>
      <c r="O28" s="308">
        <f t="shared" si="1"/>
      </c>
      <c r="P28" s="91"/>
      <c r="Q28" s="336" t="s">
        <v>463</v>
      </c>
      <c r="R28" s="534">
        <f t="shared" si="3"/>
      </c>
    </row>
    <row r="29" spans="1:18" ht="11.25">
      <c r="A29" s="429">
        <f>Criteria!A33</f>
        <v>23</v>
      </c>
      <c r="B29" s="72" t="str">
        <f>Criteria!B33</f>
        <v>Chlordibromomethane</v>
      </c>
      <c r="C29" s="164" t="s">
        <v>47</v>
      </c>
      <c r="D29" s="164" t="s">
        <v>48</v>
      </c>
      <c r="E29" s="164"/>
      <c r="F29" s="164">
        <v>14</v>
      </c>
      <c r="G29" s="331">
        <f t="shared" si="0"/>
      </c>
      <c r="H29" s="91"/>
      <c r="I29" s="204" t="s">
        <v>47</v>
      </c>
      <c r="J29" s="73" t="s">
        <v>47</v>
      </c>
      <c r="K29" s="73">
        <v>0.05</v>
      </c>
      <c r="L29" s="301" t="s">
        <v>261</v>
      </c>
      <c r="M29" s="309">
        <f t="shared" si="2"/>
        <v>0.05</v>
      </c>
      <c r="N29" s="333" t="s">
        <v>261</v>
      </c>
      <c r="O29" s="308">
        <f t="shared" si="1"/>
      </c>
      <c r="P29" s="91"/>
      <c r="Q29" s="336" t="s">
        <v>463</v>
      </c>
      <c r="R29" s="534">
        <f t="shared" si="3"/>
      </c>
    </row>
    <row r="30" spans="1:18" ht="11.25">
      <c r="A30" s="429">
        <f>Criteria!A34</f>
        <v>24</v>
      </c>
      <c r="B30" s="72" t="str">
        <f>Criteria!B34</f>
        <v>Chloroethane</v>
      </c>
      <c r="C30" s="164" t="s">
        <v>47</v>
      </c>
      <c r="D30" s="164" t="s">
        <v>47</v>
      </c>
      <c r="E30" s="164">
        <v>0.07</v>
      </c>
      <c r="F30" s="164"/>
      <c r="G30" s="331">
        <f t="shared" si="0"/>
      </c>
      <c r="H30" s="91"/>
      <c r="I30" s="204" t="s">
        <v>47</v>
      </c>
      <c r="J30" s="73" t="s">
        <v>47</v>
      </c>
      <c r="K30" s="73">
        <v>0.5</v>
      </c>
      <c r="L30" s="88" t="s">
        <v>261</v>
      </c>
      <c r="M30" s="309">
        <f t="shared" si="2"/>
        <v>0.5</v>
      </c>
      <c r="N30" s="333" t="s">
        <v>261</v>
      </c>
      <c r="O30" s="308">
        <f t="shared" si="1"/>
      </c>
      <c r="P30" s="91"/>
      <c r="Q30" s="336" t="s">
        <v>463</v>
      </c>
      <c r="R30" s="534">
        <f t="shared" si="3"/>
      </c>
    </row>
    <row r="31" spans="1:18" ht="11.25">
      <c r="A31" s="429">
        <f>Criteria!A35</f>
        <v>25</v>
      </c>
      <c r="B31" s="72" t="str">
        <f>Criteria!B35</f>
        <v>2-Chloroethylvinyl Ether</v>
      </c>
      <c r="C31" s="164" t="s">
        <v>47</v>
      </c>
      <c r="D31" s="164" t="s">
        <v>47</v>
      </c>
      <c r="E31" s="164">
        <v>0.1</v>
      </c>
      <c r="F31" s="164"/>
      <c r="G31" s="331">
        <f t="shared" si="0"/>
      </c>
      <c r="H31" s="91"/>
      <c r="I31" s="204" t="s">
        <v>47</v>
      </c>
      <c r="J31" s="73" t="s">
        <v>47</v>
      </c>
      <c r="K31" s="73">
        <v>0.5</v>
      </c>
      <c r="L31" s="88" t="s">
        <v>261</v>
      </c>
      <c r="M31" s="309">
        <f t="shared" si="2"/>
        <v>0.5</v>
      </c>
      <c r="N31" s="333" t="s">
        <v>261</v>
      </c>
      <c r="O31" s="308">
        <f t="shared" si="1"/>
      </c>
      <c r="P31" s="91"/>
      <c r="Q31" s="336" t="s">
        <v>463</v>
      </c>
      <c r="R31" s="534">
        <f t="shared" si="3"/>
      </c>
    </row>
    <row r="32" spans="1:18" ht="11.25">
      <c r="A32" s="429">
        <f>Criteria!A36</f>
        <v>26</v>
      </c>
      <c r="B32" s="72" t="str">
        <f>Criteria!B36</f>
        <v>Chloroform</v>
      </c>
      <c r="C32" s="164" t="s">
        <v>47</v>
      </c>
      <c r="D32" s="164" t="s">
        <v>48</v>
      </c>
      <c r="E32" s="164"/>
      <c r="F32" s="164">
        <v>29</v>
      </c>
      <c r="G32" s="331">
        <f t="shared" si="0"/>
      </c>
      <c r="H32" s="91"/>
      <c r="I32" s="204" t="s">
        <v>47</v>
      </c>
      <c r="J32" s="73" t="s">
        <v>47</v>
      </c>
      <c r="K32" s="73">
        <v>0.5</v>
      </c>
      <c r="L32" s="88" t="s">
        <v>261</v>
      </c>
      <c r="M32" s="309">
        <f t="shared" si="2"/>
        <v>0.5</v>
      </c>
      <c r="N32" s="333" t="s">
        <v>261</v>
      </c>
      <c r="O32" s="308">
        <f t="shared" si="1"/>
      </c>
      <c r="P32" s="91"/>
      <c r="Q32" s="336" t="s">
        <v>463</v>
      </c>
      <c r="R32" s="534">
        <f t="shared" si="3"/>
      </c>
    </row>
    <row r="33" spans="1:18" ht="11.25">
      <c r="A33" s="429">
        <f>Criteria!A37</f>
        <v>27</v>
      </c>
      <c r="B33" s="72" t="str">
        <f>Criteria!B37</f>
        <v>Dichlorobromomethane</v>
      </c>
      <c r="C33" s="164" t="s">
        <v>47</v>
      </c>
      <c r="D33" s="164" t="s">
        <v>48</v>
      </c>
      <c r="E33" s="164"/>
      <c r="F33" s="164">
        <v>20</v>
      </c>
      <c r="G33" s="331">
        <f t="shared" si="0"/>
      </c>
      <c r="H33" s="91"/>
      <c r="I33" s="204" t="s">
        <v>47</v>
      </c>
      <c r="J33" s="73" t="s">
        <v>47</v>
      </c>
      <c r="K33" s="73">
        <v>0.05</v>
      </c>
      <c r="L33" s="88" t="s">
        <v>261</v>
      </c>
      <c r="M33" s="309">
        <f t="shared" si="2"/>
        <v>0.05</v>
      </c>
      <c r="N33" s="333" t="s">
        <v>261</v>
      </c>
      <c r="O33" s="308">
        <f t="shared" si="1"/>
      </c>
      <c r="P33" s="91"/>
      <c r="Q33" s="336" t="s">
        <v>463</v>
      </c>
      <c r="R33" s="534">
        <f t="shared" si="3"/>
      </c>
    </row>
    <row r="34" spans="1:18" ht="11.25">
      <c r="A34" s="429">
        <f>Criteria!A38</f>
        <v>28</v>
      </c>
      <c r="B34" s="72" t="str">
        <f>Criteria!B38</f>
        <v>1,1-Dichloroethane</v>
      </c>
      <c r="C34" s="164" t="s">
        <v>47</v>
      </c>
      <c r="D34" s="164" t="s">
        <v>47</v>
      </c>
      <c r="E34" s="164">
        <v>0.05</v>
      </c>
      <c r="F34" s="164"/>
      <c r="G34" s="331">
        <f t="shared" si="0"/>
      </c>
      <c r="H34" s="91"/>
      <c r="I34" s="204" t="s">
        <v>47</v>
      </c>
      <c r="J34" s="73" t="s">
        <v>47</v>
      </c>
      <c r="K34" s="73">
        <v>0.05</v>
      </c>
      <c r="L34" s="88" t="s">
        <v>261</v>
      </c>
      <c r="M34" s="309">
        <f t="shared" si="2"/>
        <v>0.05</v>
      </c>
      <c r="N34" s="333" t="s">
        <v>261</v>
      </c>
      <c r="O34" s="308">
        <f t="shared" si="1"/>
      </c>
      <c r="P34" s="91"/>
      <c r="Q34" s="336" t="s">
        <v>463</v>
      </c>
      <c r="R34" s="534">
        <f t="shared" si="3"/>
      </c>
    </row>
    <row r="35" spans="1:18" ht="11.25">
      <c r="A35" s="429">
        <f>Criteria!A39</f>
        <v>29</v>
      </c>
      <c r="B35" s="72" t="str">
        <f>Criteria!B39</f>
        <v>1,2-Dichloroethane</v>
      </c>
      <c r="C35" s="164" t="s">
        <v>47</v>
      </c>
      <c r="D35" s="164" t="s">
        <v>47</v>
      </c>
      <c r="E35" s="164">
        <v>0.06</v>
      </c>
      <c r="F35" s="164"/>
      <c r="G35" s="331">
        <f t="shared" si="0"/>
      </c>
      <c r="H35" s="91"/>
      <c r="I35" s="204" t="s">
        <v>47</v>
      </c>
      <c r="J35" s="73" t="s">
        <v>48</v>
      </c>
      <c r="K35" s="73" t="s">
        <v>261</v>
      </c>
      <c r="L35" s="88">
        <v>0.04</v>
      </c>
      <c r="M35" s="309">
        <f t="shared" si="2"/>
        <v>0.04</v>
      </c>
      <c r="N35" s="333" t="s">
        <v>261</v>
      </c>
      <c r="O35" s="308">
        <f t="shared" si="1"/>
      </c>
      <c r="P35" s="91"/>
      <c r="Q35" s="336" t="s">
        <v>463</v>
      </c>
      <c r="R35" s="534">
        <f t="shared" si="3"/>
      </c>
    </row>
    <row r="36" spans="1:18" ht="11.25">
      <c r="A36" s="429">
        <f>Criteria!A40</f>
        <v>30</v>
      </c>
      <c r="B36" s="72" t="str">
        <f>Criteria!B40</f>
        <v>1,1-Dichloroethylene</v>
      </c>
      <c r="C36" s="164" t="s">
        <v>47</v>
      </c>
      <c r="D36" s="164" t="s">
        <v>47</v>
      </c>
      <c r="E36" s="164">
        <v>0.06</v>
      </c>
      <c r="F36" s="164"/>
      <c r="G36" s="331">
        <f t="shared" si="0"/>
      </c>
      <c r="H36" s="91"/>
      <c r="I36" s="204" t="s">
        <v>47</v>
      </c>
      <c r="J36" s="73" t="s">
        <v>47</v>
      </c>
      <c r="K36" s="73">
        <v>0.5</v>
      </c>
      <c r="L36" s="88" t="s">
        <v>261</v>
      </c>
      <c r="M36" s="309">
        <f t="shared" si="2"/>
        <v>0.5</v>
      </c>
      <c r="N36" s="333" t="s">
        <v>261</v>
      </c>
      <c r="O36" s="308">
        <f t="shared" si="1"/>
      </c>
      <c r="P36" s="91"/>
      <c r="Q36" s="336" t="s">
        <v>463</v>
      </c>
      <c r="R36" s="534">
        <f t="shared" si="3"/>
      </c>
    </row>
    <row r="37" spans="1:18" ht="11.25">
      <c r="A37" s="429">
        <f>Criteria!A41</f>
        <v>31</v>
      </c>
      <c r="B37" s="72" t="str">
        <f>Criteria!B41</f>
        <v>1,2-Dichloropropane</v>
      </c>
      <c r="C37" s="164" t="s">
        <v>47</v>
      </c>
      <c r="D37" s="164" t="s">
        <v>47</v>
      </c>
      <c r="E37" s="164">
        <v>0.05</v>
      </c>
      <c r="F37" s="164"/>
      <c r="G37" s="331">
        <f t="shared" si="0"/>
      </c>
      <c r="H37" s="91"/>
      <c r="I37" s="204" t="s">
        <v>47</v>
      </c>
      <c r="J37" s="73" t="s">
        <v>47</v>
      </c>
      <c r="K37" s="73">
        <v>0.05</v>
      </c>
      <c r="L37" s="88" t="s">
        <v>261</v>
      </c>
      <c r="M37" s="309">
        <f t="shared" si="2"/>
        <v>0.05</v>
      </c>
      <c r="N37" s="333" t="s">
        <v>261</v>
      </c>
      <c r="O37" s="308">
        <f t="shared" si="1"/>
      </c>
      <c r="P37" s="91"/>
      <c r="Q37" s="336" t="s">
        <v>463</v>
      </c>
      <c r="R37" s="534">
        <f t="shared" si="3"/>
      </c>
    </row>
    <row r="38" spans="1:18" ht="11.25">
      <c r="A38" s="429">
        <f>Criteria!A42</f>
        <v>32</v>
      </c>
      <c r="B38" s="72" t="str">
        <f>Criteria!B42</f>
        <v>1,3-Dichloropropylene</v>
      </c>
      <c r="C38" s="164" t="s">
        <v>47</v>
      </c>
      <c r="D38" s="164" t="s">
        <v>47</v>
      </c>
      <c r="E38" s="164">
        <v>0.06</v>
      </c>
      <c r="F38" s="164"/>
      <c r="G38" s="331">
        <f t="shared" si="0"/>
      </c>
      <c r="H38" s="91"/>
      <c r="I38" s="205" t="s">
        <v>47</v>
      </c>
      <c r="J38" s="206" t="s">
        <v>47</v>
      </c>
      <c r="K38" s="73">
        <v>0.2</v>
      </c>
      <c r="L38" s="88"/>
      <c r="M38" s="309">
        <f t="shared" si="2"/>
        <v>0.2</v>
      </c>
      <c r="N38" s="333" t="s">
        <v>261</v>
      </c>
      <c r="O38" s="308">
        <f t="shared" si="1"/>
      </c>
      <c r="P38" s="91"/>
      <c r="Q38" s="336" t="s">
        <v>463</v>
      </c>
      <c r="R38" s="534">
        <f t="shared" si="3"/>
      </c>
    </row>
    <row r="39" spans="1:18" ht="11.25">
      <c r="A39" s="429">
        <f>Criteria!A43</f>
        <v>33</v>
      </c>
      <c r="B39" s="72" t="str">
        <f>Criteria!B43</f>
        <v>Ethylbenzene</v>
      </c>
      <c r="C39" s="164" t="s">
        <v>47</v>
      </c>
      <c r="D39" s="164" t="s">
        <v>47</v>
      </c>
      <c r="E39" s="164">
        <v>0.06</v>
      </c>
      <c r="F39" s="164"/>
      <c r="G39" s="331">
        <f t="shared" si="0"/>
      </c>
      <c r="H39" s="91"/>
      <c r="I39" s="204" t="s">
        <v>47</v>
      </c>
      <c r="J39" s="73" t="s">
        <v>47</v>
      </c>
      <c r="K39" s="73">
        <v>0.5</v>
      </c>
      <c r="L39" s="88" t="s">
        <v>261</v>
      </c>
      <c r="M39" s="309">
        <f t="shared" si="2"/>
        <v>0.5</v>
      </c>
      <c r="N39" s="333" t="s">
        <v>261</v>
      </c>
      <c r="O39" s="308">
        <f t="shared" si="1"/>
      </c>
      <c r="P39" s="91"/>
      <c r="Q39" s="336" t="s">
        <v>463</v>
      </c>
      <c r="R39" s="534">
        <f t="shared" si="3"/>
      </c>
    </row>
    <row r="40" spans="1:18" ht="11.25">
      <c r="A40" s="429">
        <f>Criteria!A44</f>
        <v>34</v>
      </c>
      <c r="B40" s="72" t="str">
        <f>Criteria!B44</f>
        <v>Methyl Bromide</v>
      </c>
      <c r="C40" s="164" t="s">
        <v>47</v>
      </c>
      <c r="D40" s="164" t="s">
        <v>48</v>
      </c>
      <c r="E40" s="164"/>
      <c r="F40" s="164">
        <v>3.4</v>
      </c>
      <c r="G40" s="331">
        <f t="shared" si="0"/>
      </c>
      <c r="H40" s="91"/>
      <c r="I40" s="204" t="s">
        <v>47</v>
      </c>
      <c r="J40" s="73" t="s">
        <v>47</v>
      </c>
      <c r="K40" s="73">
        <v>0.5</v>
      </c>
      <c r="L40" s="88" t="s">
        <v>261</v>
      </c>
      <c r="M40" s="309">
        <f t="shared" si="2"/>
        <v>0.5</v>
      </c>
      <c r="N40" s="333" t="s">
        <v>261</v>
      </c>
      <c r="O40" s="308">
        <f t="shared" si="1"/>
      </c>
      <c r="P40" s="91"/>
      <c r="Q40" s="336" t="s">
        <v>463</v>
      </c>
      <c r="R40" s="534">
        <f t="shared" si="3"/>
      </c>
    </row>
    <row r="41" spans="1:18" ht="11.25">
      <c r="A41" s="429">
        <f>Criteria!A45</f>
        <v>35</v>
      </c>
      <c r="B41" s="72" t="str">
        <f>Criteria!B45</f>
        <v>Methyl Chloride</v>
      </c>
      <c r="C41" s="164" t="s">
        <v>47</v>
      </c>
      <c r="D41" s="164" t="s">
        <v>47</v>
      </c>
      <c r="E41" s="164">
        <v>0.04</v>
      </c>
      <c r="F41" s="164"/>
      <c r="G41" s="331">
        <f t="shared" si="0"/>
      </c>
      <c r="H41" s="91"/>
      <c r="I41" s="204" t="s">
        <v>47</v>
      </c>
      <c r="J41" s="73" t="s">
        <v>47</v>
      </c>
      <c r="K41" s="73">
        <v>0.5</v>
      </c>
      <c r="L41" s="88" t="s">
        <v>261</v>
      </c>
      <c r="M41" s="309">
        <f t="shared" si="2"/>
        <v>0.5</v>
      </c>
      <c r="N41" s="333" t="s">
        <v>261</v>
      </c>
      <c r="O41" s="308">
        <f t="shared" si="1"/>
      </c>
      <c r="P41" s="91"/>
      <c r="Q41" s="336" t="s">
        <v>463</v>
      </c>
      <c r="R41" s="534">
        <f t="shared" si="3"/>
      </c>
    </row>
    <row r="42" spans="1:18" ht="11.25">
      <c r="A42" s="429">
        <f>Criteria!A46</f>
        <v>36</v>
      </c>
      <c r="B42" s="72" t="str">
        <f>Criteria!B46</f>
        <v>Methylene Chloride</v>
      </c>
      <c r="C42" s="164" t="s">
        <v>47</v>
      </c>
      <c r="D42" s="164" t="s">
        <v>47</v>
      </c>
      <c r="E42" s="164">
        <v>0.07</v>
      </c>
      <c r="F42" s="164"/>
      <c r="G42" s="331">
        <f t="shared" si="0"/>
      </c>
      <c r="H42" s="91"/>
      <c r="I42" s="204" t="s">
        <v>47</v>
      </c>
      <c r="J42" s="73" t="s">
        <v>48</v>
      </c>
      <c r="K42" s="73" t="s">
        <v>261</v>
      </c>
      <c r="L42" s="88">
        <v>0.5</v>
      </c>
      <c r="M42" s="309">
        <f t="shared" si="2"/>
        <v>0.5</v>
      </c>
      <c r="N42" s="333" t="s">
        <v>261</v>
      </c>
      <c r="O42" s="308">
        <f t="shared" si="1"/>
      </c>
      <c r="P42" s="91"/>
      <c r="Q42" s="336" t="s">
        <v>463</v>
      </c>
      <c r="R42" s="534">
        <f t="shared" si="3"/>
      </c>
    </row>
    <row r="43" spans="1:18" ht="11.25">
      <c r="A43" s="429">
        <f>Criteria!A47</f>
        <v>37</v>
      </c>
      <c r="B43" s="72" t="str">
        <f>Criteria!B47</f>
        <v>1,1,2,2-Tetrachloroethane</v>
      </c>
      <c r="C43" s="164" t="s">
        <v>47</v>
      </c>
      <c r="D43" s="164" t="s">
        <v>47</v>
      </c>
      <c r="E43" s="164">
        <v>0.06</v>
      </c>
      <c r="F43" s="164"/>
      <c r="G43" s="331">
        <f t="shared" si="0"/>
      </c>
      <c r="H43" s="91"/>
      <c r="I43" s="204" t="s">
        <v>47</v>
      </c>
      <c r="J43" s="73" t="s">
        <v>47</v>
      </c>
      <c r="K43" s="73">
        <v>0.05</v>
      </c>
      <c r="L43" s="88" t="s">
        <v>261</v>
      </c>
      <c r="M43" s="309">
        <f t="shared" si="2"/>
        <v>0.05</v>
      </c>
      <c r="N43" s="333" t="s">
        <v>261</v>
      </c>
      <c r="O43" s="308">
        <f t="shared" si="1"/>
      </c>
      <c r="P43" s="91"/>
      <c r="Q43" s="336" t="s">
        <v>463</v>
      </c>
      <c r="R43" s="534">
        <f t="shared" si="3"/>
      </c>
    </row>
    <row r="44" spans="1:18" ht="11.25">
      <c r="A44" s="429">
        <f>Criteria!A48</f>
        <v>38</v>
      </c>
      <c r="B44" s="72" t="str">
        <f>Criteria!B48</f>
        <v>Tetrachloroethylene</v>
      </c>
      <c r="C44" s="164" t="s">
        <v>47</v>
      </c>
      <c r="D44" s="164" t="s">
        <v>47</v>
      </c>
      <c r="E44" s="164">
        <v>0.06</v>
      </c>
      <c r="F44" s="164"/>
      <c r="G44" s="331">
        <f t="shared" si="0"/>
      </c>
      <c r="H44" s="91"/>
      <c r="I44" s="204" t="s">
        <v>47</v>
      </c>
      <c r="J44" s="73" t="s">
        <v>47</v>
      </c>
      <c r="K44" s="73">
        <v>0.05</v>
      </c>
      <c r="L44" s="88" t="s">
        <v>261</v>
      </c>
      <c r="M44" s="309">
        <f t="shared" si="2"/>
        <v>0.05</v>
      </c>
      <c r="N44" s="333" t="s">
        <v>261</v>
      </c>
      <c r="O44" s="308">
        <f t="shared" si="1"/>
      </c>
      <c r="P44" s="91"/>
      <c r="Q44" s="336" t="s">
        <v>463</v>
      </c>
      <c r="R44" s="534">
        <f t="shared" si="3"/>
      </c>
    </row>
    <row r="45" spans="1:18" ht="11.25">
      <c r="A45" s="429">
        <f>Criteria!A49</f>
        <v>39</v>
      </c>
      <c r="B45" s="72" t="str">
        <f>Criteria!B49</f>
        <v>Toluene</v>
      </c>
      <c r="C45" s="164" t="s">
        <v>47</v>
      </c>
      <c r="D45" s="164" t="s">
        <v>48</v>
      </c>
      <c r="E45" s="164"/>
      <c r="F45" s="164">
        <v>0.5</v>
      </c>
      <c r="G45" s="331">
        <f t="shared" si="0"/>
      </c>
      <c r="H45" s="91"/>
      <c r="I45" s="204" t="s">
        <v>47</v>
      </c>
      <c r="J45" s="73" t="s">
        <v>47</v>
      </c>
      <c r="K45" s="73">
        <v>0.3</v>
      </c>
      <c r="L45" s="88" t="s">
        <v>261</v>
      </c>
      <c r="M45" s="309">
        <f t="shared" si="2"/>
        <v>0.3</v>
      </c>
      <c r="N45" s="333" t="s">
        <v>261</v>
      </c>
      <c r="O45" s="308">
        <f t="shared" si="1"/>
      </c>
      <c r="P45" s="91"/>
      <c r="Q45" s="336" t="s">
        <v>463</v>
      </c>
      <c r="R45" s="534">
        <f t="shared" si="3"/>
      </c>
    </row>
    <row r="46" spans="1:18" ht="11.25">
      <c r="A46" s="429">
        <f>Criteria!A50</f>
        <v>40</v>
      </c>
      <c r="B46" s="72" t="str">
        <f>Criteria!B50</f>
        <v>1,2-Trans-Dichloroethylene</v>
      </c>
      <c r="C46" s="164" t="s">
        <v>47</v>
      </c>
      <c r="D46" s="164" t="s">
        <v>47</v>
      </c>
      <c r="E46" s="164">
        <v>0.05</v>
      </c>
      <c r="F46" s="164"/>
      <c r="G46" s="331">
        <f t="shared" si="0"/>
      </c>
      <c r="H46" s="91"/>
      <c r="I46" s="204" t="s">
        <v>47</v>
      </c>
      <c r="J46" s="73" t="s">
        <v>47</v>
      </c>
      <c r="K46" s="73">
        <v>0.5</v>
      </c>
      <c r="L46" s="88" t="s">
        <v>261</v>
      </c>
      <c r="M46" s="309">
        <f t="shared" si="2"/>
        <v>0.5</v>
      </c>
      <c r="N46" s="333" t="s">
        <v>261</v>
      </c>
      <c r="O46" s="308">
        <f t="shared" si="1"/>
      </c>
      <c r="P46" s="91"/>
      <c r="Q46" s="336" t="s">
        <v>463</v>
      </c>
      <c r="R46" s="534">
        <f t="shared" si="3"/>
      </c>
    </row>
    <row r="47" spans="1:18" ht="11.25">
      <c r="A47" s="429">
        <f>Criteria!A51</f>
        <v>41</v>
      </c>
      <c r="B47" s="72" t="str">
        <f>Criteria!B51</f>
        <v>1,1,1-Trichloroethane</v>
      </c>
      <c r="C47" s="164" t="s">
        <v>47</v>
      </c>
      <c r="D47" s="164" t="s">
        <v>47</v>
      </c>
      <c r="E47" s="164">
        <v>0.06</v>
      </c>
      <c r="F47" s="164"/>
      <c r="G47" s="331">
        <f t="shared" si="0"/>
      </c>
      <c r="H47" s="91"/>
      <c r="I47" s="204" t="s">
        <v>47</v>
      </c>
      <c r="J47" s="73" t="s">
        <v>47</v>
      </c>
      <c r="K47" s="73">
        <v>0.5</v>
      </c>
      <c r="L47" s="88" t="s">
        <v>261</v>
      </c>
      <c r="M47" s="309">
        <f t="shared" si="2"/>
        <v>0.5</v>
      </c>
      <c r="N47" s="333" t="s">
        <v>261</v>
      </c>
      <c r="O47" s="308">
        <f t="shared" si="1"/>
      </c>
      <c r="P47" s="91"/>
      <c r="Q47" s="336" t="s">
        <v>463</v>
      </c>
      <c r="R47" s="534">
        <f t="shared" si="3"/>
      </c>
    </row>
    <row r="48" spans="1:18" ht="11.25">
      <c r="A48" s="429">
        <f>Criteria!A52</f>
        <v>42</v>
      </c>
      <c r="B48" s="72" t="str">
        <f>Criteria!B52</f>
        <v>1,1,2-Trichloroethane</v>
      </c>
      <c r="C48" s="164" t="s">
        <v>47</v>
      </c>
      <c r="D48" s="164" t="s">
        <v>47</v>
      </c>
      <c r="E48" s="164">
        <v>0.07</v>
      </c>
      <c r="F48" s="164"/>
      <c r="G48" s="331">
        <f t="shared" si="0"/>
      </c>
      <c r="H48" s="91"/>
      <c r="I48" s="204" t="s">
        <v>47</v>
      </c>
      <c r="J48" s="73" t="s">
        <v>47</v>
      </c>
      <c r="K48" s="73">
        <v>0.05</v>
      </c>
      <c r="L48" s="88" t="s">
        <v>261</v>
      </c>
      <c r="M48" s="309">
        <f t="shared" si="2"/>
        <v>0.05</v>
      </c>
      <c r="N48" s="333" t="s">
        <v>261</v>
      </c>
      <c r="O48" s="308">
        <f t="shared" si="1"/>
      </c>
      <c r="P48" s="91"/>
      <c r="Q48" s="336" t="s">
        <v>463</v>
      </c>
      <c r="R48" s="534">
        <f t="shared" si="3"/>
      </c>
    </row>
    <row r="49" spans="1:18" ht="11.25">
      <c r="A49" s="429">
        <f>Criteria!A53</f>
        <v>43</v>
      </c>
      <c r="B49" s="72" t="str">
        <f>Criteria!B53</f>
        <v>Trichloroethylene</v>
      </c>
      <c r="C49" s="164" t="s">
        <v>47</v>
      </c>
      <c r="D49" s="164" t="s">
        <v>47</v>
      </c>
      <c r="E49" s="164">
        <v>0.06</v>
      </c>
      <c r="F49" s="164"/>
      <c r="G49" s="331">
        <f t="shared" si="0"/>
      </c>
      <c r="H49" s="91"/>
      <c r="I49" s="204" t="s">
        <v>47</v>
      </c>
      <c r="J49" s="73" t="s">
        <v>47</v>
      </c>
      <c r="K49" s="73">
        <v>0.5</v>
      </c>
      <c r="L49" s="88" t="s">
        <v>261</v>
      </c>
      <c r="M49" s="309">
        <f t="shared" si="2"/>
        <v>0.5</v>
      </c>
      <c r="N49" s="333" t="s">
        <v>261</v>
      </c>
      <c r="O49" s="308">
        <f t="shared" si="1"/>
      </c>
      <c r="P49" s="91"/>
      <c r="Q49" s="336" t="s">
        <v>463</v>
      </c>
      <c r="R49" s="534">
        <f t="shared" si="3"/>
      </c>
    </row>
    <row r="50" spans="1:18" ht="11.25">
      <c r="A50" s="429">
        <f>Criteria!A54</f>
        <v>44</v>
      </c>
      <c r="B50" s="72" t="str">
        <f>Criteria!B54</f>
        <v>Vinyl Chloride</v>
      </c>
      <c r="C50" s="164" t="s">
        <v>47</v>
      </c>
      <c r="D50" s="164" t="s">
        <v>47</v>
      </c>
      <c r="E50" s="164">
        <v>0.05</v>
      </c>
      <c r="F50" s="164"/>
      <c r="G50" s="331">
        <f t="shared" si="0"/>
      </c>
      <c r="H50" s="91"/>
      <c r="I50" s="204" t="s">
        <v>47</v>
      </c>
      <c r="J50" s="73" t="s">
        <v>47</v>
      </c>
      <c r="K50" s="73">
        <v>0.5</v>
      </c>
      <c r="L50" s="88" t="s">
        <v>261</v>
      </c>
      <c r="M50" s="309">
        <f t="shared" si="2"/>
        <v>0.5</v>
      </c>
      <c r="N50" s="333" t="s">
        <v>261</v>
      </c>
      <c r="O50" s="308">
        <f t="shared" si="1"/>
      </c>
      <c r="P50" s="91"/>
      <c r="Q50" s="336" t="s">
        <v>463</v>
      </c>
      <c r="R50" s="534">
        <f t="shared" si="3"/>
      </c>
    </row>
    <row r="51" spans="1:18" ht="11.25">
      <c r="A51" s="429">
        <f>Criteria!A55</f>
        <v>45</v>
      </c>
      <c r="B51" s="72" t="str">
        <f>Criteria!B55</f>
        <v>Chlorophenol</v>
      </c>
      <c r="C51" s="164" t="s">
        <v>47</v>
      </c>
      <c r="D51" s="164" t="s">
        <v>47</v>
      </c>
      <c r="E51" s="164">
        <v>0.4</v>
      </c>
      <c r="F51" s="164"/>
      <c r="G51" s="331">
        <f t="shared" si="0"/>
      </c>
      <c r="H51" s="91"/>
      <c r="I51" s="204" t="s">
        <v>47</v>
      </c>
      <c r="J51" s="73" t="s">
        <v>47</v>
      </c>
      <c r="K51" s="73">
        <v>1.2</v>
      </c>
      <c r="L51" s="88" t="s">
        <v>261</v>
      </c>
      <c r="M51" s="309">
        <f t="shared" si="2"/>
        <v>1.2</v>
      </c>
      <c r="N51" s="333" t="s">
        <v>261</v>
      </c>
      <c r="O51" s="308">
        <f t="shared" si="1"/>
      </c>
      <c r="P51" s="91"/>
      <c r="Q51" s="336" t="s">
        <v>463</v>
      </c>
      <c r="R51" s="534">
        <f t="shared" si="3"/>
      </c>
    </row>
    <row r="52" spans="1:18" ht="11.25">
      <c r="A52" s="429">
        <f>Criteria!A56</f>
        <v>46</v>
      </c>
      <c r="B52" s="72" t="str">
        <f>Criteria!B56</f>
        <v>2,4-Dichlorophenol</v>
      </c>
      <c r="C52" s="164" t="s">
        <v>47</v>
      </c>
      <c r="D52" s="164" t="s">
        <v>47</v>
      </c>
      <c r="E52" s="164">
        <v>0.3</v>
      </c>
      <c r="F52" s="164"/>
      <c r="G52" s="331">
        <f t="shared" si="0"/>
      </c>
      <c r="H52" s="91"/>
      <c r="I52" s="204" t="s">
        <v>47</v>
      </c>
      <c r="J52" s="73" t="s">
        <v>47</v>
      </c>
      <c r="K52" s="73">
        <v>1.3</v>
      </c>
      <c r="L52" s="88" t="s">
        <v>261</v>
      </c>
      <c r="M52" s="309">
        <f t="shared" si="2"/>
        <v>1.3</v>
      </c>
      <c r="N52" s="333" t="s">
        <v>261</v>
      </c>
      <c r="O52" s="308">
        <f t="shared" si="1"/>
      </c>
      <c r="P52" s="91"/>
      <c r="Q52" s="336" t="s">
        <v>463</v>
      </c>
      <c r="R52" s="534">
        <f t="shared" si="3"/>
      </c>
    </row>
    <row r="53" spans="1:18" ht="11.25">
      <c r="A53" s="429">
        <f>Criteria!A57</f>
        <v>47</v>
      </c>
      <c r="B53" s="72" t="str">
        <f>Criteria!B57</f>
        <v>2,4-Dimethylphenol</v>
      </c>
      <c r="C53" s="164" t="s">
        <v>47</v>
      </c>
      <c r="D53" s="164" t="s">
        <v>47</v>
      </c>
      <c r="E53" s="164">
        <v>0.3</v>
      </c>
      <c r="F53" s="164"/>
      <c r="G53" s="331">
        <f t="shared" si="0"/>
      </c>
      <c r="H53" s="91"/>
      <c r="I53" s="204" t="s">
        <v>47</v>
      </c>
      <c r="J53" s="73" t="s">
        <v>47</v>
      </c>
      <c r="K53" s="73">
        <v>1.3</v>
      </c>
      <c r="L53" s="88" t="s">
        <v>261</v>
      </c>
      <c r="M53" s="309">
        <f t="shared" si="2"/>
        <v>1.3</v>
      </c>
      <c r="N53" s="333" t="s">
        <v>261</v>
      </c>
      <c r="O53" s="308">
        <f t="shared" si="1"/>
      </c>
      <c r="P53" s="91"/>
      <c r="Q53" s="336" t="s">
        <v>463</v>
      </c>
      <c r="R53" s="534">
        <f t="shared" si="3"/>
      </c>
    </row>
    <row r="54" spans="1:18" ht="11.25">
      <c r="A54" s="429">
        <f>Criteria!A58</f>
        <v>48</v>
      </c>
      <c r="B54" s="72" t="str">
        <f>Criteria!B58</f>
        <v>2-Methyl-4,6-Dinitrophenol</v>
      </c>
      <c r="C54" s="164" t="s">
        <v>47</v>
      </c>
      <c r="D54" s="164" t="s">
        <v>47</v>
      </c>
      <c r="E54" s="164">
        <v>0.4</v>
      </c>
      <c r="F54" s="164"/>
      <c r="G54" s="331">
        <f t="shared" si="0"/>
      </c>
      <c r="H54" s="91"/>
      <c r="I54" s="204" t="s">
        <v>47</v>
      </c>
      <c r="J54" s="74" t="s">
        <v>47</v>
      </c>
      <c r="K54" s="74">
        <v>1.2</v>
      </c>
      <c r="L54" s="88" t="s">
        <v>261</v>
      </c>
      <c r="M54" s="309">
        <f t="shared" si="2"/>
        <v>1.2</v>
      </c>
      <c r="N54" s="333" t="s">
        <v>261</v>
      </c>
      <c r="O54" s="308">
        <f t="shared" si="1"/>
      </c>
      <c r="P54" s="91"/>
      <c r="Q54" s="336" t="s">
        <v>463</v>
      </c>
      <c r="R54" s="534">
        <f t="shared" si="3"/>
      </c>
    </row>
    <row r="55" spans="1:18" ht="11.25">
      <c r="A55" s="429">
        <f>Criteria!A59</f>
        <v>49</v>
      </c>
      <c r="B55" s="72" t="str">
        <f>Criteria!B59</f>
        <v>2,4-Dinitrophenol</v>
      </c>
      <c r="C55" s="164" t="s">
        <v>47</v>
      </c>
      <c r="D55" s="164" t="s">
        <v>47</v>
      </c>
      <c r="E55" s="164">
        <v>0.3</v>
      </c>
      <c r="F55" s="164"/>
      <c r="G55" s="331">
        <f t="shared" si="0"/>
      </c>
      <c r="H55" s="91"/>
      <c r="I55" s="204" t="s">
        <v>47</v>
      </c>
      <c r="J55" s="73" t="s">
        <v>47</v>
      </c>
      <c r="K55" s="73">
        <v>0.7</v>
      </c>
      <c r="L55" s="88" t="s">
        <v>261</v>
      </c>
      <c r="M55" s="309">
        <f t="shared" si="2"/>
        <v>0.7</v>
      </c>
      <c r="N55" s="333" t="s">
        <v>261</v>
      </c>
      <c r="O55" s="308">
        <f t="shared" si="1"/>
      </c>
      <c r="P55" s="91"/>
      <c r="Q55" s="336" t="s">
        <v>463</v>
      </c>
      <c r="R55" s="534">
        <f t="shared" si="3"/>
      </c>
    </row>
    <row r="56" spans="1:18" ht="11.25">
      <c r="A56" s="429">
        <f>Criteria!A60</f>
        <v>50</v>
      </c>
      <c r="B56" s="72" t="str">
        <f>Criteria!B60</f>
        <v>2-Nitrophenol</v>
      </c>
      <c r="C56" s="164" t="s">
        <v>47</v>
      </c>
      <c r="D56" s="164" t="s">
        <v>47</v>
      </c>
      <c r="E56" s="164">
        <v>0.3</v>
      </c>
      <c r="F56" s="164"/>
      <c r="G56" s="331">
        <f t="shared" si="0"/>
      </c>
      <c r="H56" s="91"/>
      <c r="I56" s="204" t="s">
        <v>47</v>
      </c>
      <c r="J56" s="73" t="s">
        <v>47</v>
      </c>
      <c r="K56" s="73">
        <v>1.3</v>
      </c>
      <c r="L56" s="88" t="s">
        <v>261</v>
      </c>
      <c r="M56" s="309">
        <f t="shared" si="2"/>
        <v>1.3</v>
      </c>
      <c r="N56" s="333" t="s">
        <v>261</v>
      </c>
      <c r="O56" s="308">
        <f t="shared" si="1"/>
      </c>
      <c r="P56" s="91"/>
      <c r="Q56" s="336" t="s">
        <v>463</v>
      </c>
      <c r="R56" s="534">
        <f t="shared" si="3"/>
      </c>
    </row>
    <row r="57" spans="1:18" ht="11.25">
      <c r="A57" s="429">
        <f>Criteria!A61</f>
        <v>51</v>
      </c>
      <c r="B57" s="72" t="str">
        <f>Criteria!B61</f>
        <v>4-Nitrophenol</v>
      </c>
      <c r="C57" s="164" t="s">
        <v>47</v>
      </c>
      <c r="D57" s="164" t="s">
        <v>47</v>
      </c>
      <c r="E57" s="164">
        <v>0.2</v>
      </c>
      <c r="F57" s="164"/>
      <c r="G57" s="331">
        <f t="shared" si="0"/>
      </c>
      <c r="H57" s="91"/>
      <c r="I57" s="204" t="s">
        <v>47</v>
      </c>
      <c r="J57" s="73" t="s">
        <v>47</v>
      </c>
      <c r="K57" s="73">
        <v>1.6</v>
      </c>
      <c r="L57" s="88" t="s">
        <v>261</v>
      </c>
      <c r="M57" s="309">
        <f t="shared" si="2"/>
        <v>1.6</v>
      </c>
      <c r="N57" s="333" t="s">
        <v>261</v>
      </c>
      <c r="O57" s="308">
        <f t="shared" si="1"/>
      </c>
      <c r="P57" s="91"/>
      <c r="Q57" s="336" t="s">
        <v>463</v>
      </c>
      <c r="R57" s="534">
        <f t="shared" si="3"/>
      </c>
    </row>
    <row r="58" spans="1:18" ht="11.25">
      <c r="A58" s="429">
        <f>Criteria!A62</f>
        <v>52</v>
      </c>
      <c r="B58" s="72" t="str">
        <f>Criteria!B62</f>
        <v>3-Methyl-4-Chlorophenol</v>
      </c>
      <c r="C58" s="164" t="s">
        <v>47</v>
      </c>
      <c r="D58" s="164" t="s">
        <v>47</v>
      </c>
      <c r="E58" s="164">
        <v>0.3</v>
      </c>
      <c r="F58" s="164"/>
      <c r="G58" s="331">
        <f t="shared" si="0"/>
      </c>
      <c r="H58" s="91"/>
      <c r="I58" s="204" t="s">
        <v>47</v>
      </c>
      <c r="J58" s="74" t="s">
        <v>47</v>
      </c>
      <c r="K58" s="74">
        <v>1.1</v>
      </c>
      <c r="L58" s="88" t="s">
        <v>261</v>
      </c>
      <c r="M58" s="309">
        <f t="shared" si="2"/>
        <v>1.1</v>
      </c>
      <c r="N58" s="333" t="s">
        <v>261</v>
      </c>
      <c r="O58" s="308">
        <f t="shared" si="1"/>
      </c>
      <c r="P58" s="91"/>
      <c r="Q58" s="336" t="s">
        <v>463</v>
      </c>
      <c r="R58" s="534">
        <f t="shared" si="3"/>
      </c>
    </row>
    <row r="59" spans="1:18" ht="11.25">
      <c r="A59" s="429">
        <f>Criteria!A63</f>
        <v>53</v>
      </c>
      <c r="B59" s="72" t="str">
        <f>Criteria!B63</f>
        <v>Pentachlorophenol</v>
      </c>
      <c r="C59" s="164" t="s">
        <v>47</v>
      </c>
      <c r="D59" s="164" t="s">
        <v>47</v>
      </c>
      <c r="E59" s="164">
        <v>0.4</v>
      </c>
      <c r="F59" s="164"/>
      <c r="G59" s="331">
        <f t="shared" si="0"/>
      </c>
      <c r="H59" s="91"/>
      <c r="I59" s="204" t="s">
        <v>47</v>
      </c>
      <c r="J59" s="73" t="s">
        <v>47</v>
      </c>
      <c r="K59" s="73">
        <v>1</v>
      </c>
      <c r="L59" s="88" t="s">
        <v>261</v>
      </c>
      <c r="M59" s="309">
        <f t="shared" si="2"/>
        <v>1</v>
      </c>
      <c r="N59" s="333" t="s">
        <v>261</v>
      </c>
      <c r="O59" s="308">
        <f t="shared" si="1"/>
      </c>
      <c r="P59" s="91"/>
      <c r="Q59" s="336" t="s">
        <v>463</v>
      </c>
      <c r="R59" s="534">
        <f t="shared" si="3"/>
      </c>
    </row>
    <row r="60" spans="1:18" ht="11.25">
      <c r="A60" s="429">
        <f>Criteria!A64</f>
        <v>54</v>
      </c>
      <c r="B60" s="72" t="str">
        <f>Criteria!B64</f>
        <v>Phenol</v>
      </c>
      <c r="C60" s="164" t="s">
        <v>47</v>
      </c>
      <c r="D60" s="164" t="s">
        <v>47</v>
      </c>
      <c r="E60" s="164">
        <v>0.2</v>
      </c>
      <c r="F60" s="164"/>
      <c r="G60" s="331">
        <f t="shared" si="0"/>
      </c>
      <c r="H60" s="91"/>
      <c r="I60" s="204" t="s">
        <v>47</v>
      </c>
      <c r="J60" s="73" t="s">
        <v>47</v>
      </c>
      <c r="K60" s="73">
        <v>1.3</v>
      </c>
      <c r="L60" s="88" t="s">
        <v>261</v>
      </c>
      <c r="M60" s="309">
        <f t="shared" si="2"/>
        <v>1.3</v>
      </c>
      <c r="N60" s="333" t="s">
        <v>261</v>
      </c>
      <c r="O60" s="308">
        <f t="shared" si="1"/>
      </c>
      <c r="P60" s="91"/>
      <c r="Q60" s="336" t="s">
        <v>463</v>
      </c>
      <c r="R60" s="534">
        <f t="shared" si="3"/>
      </c>
    </row>
    <row r="61" spans="1:18" ht="11.25">
      <c r="A61" s="429">
        <f>Criteria!A65</f>
        <v>55</v>
      </c>
      <c r="B61" s="72" t="str">
        <f>Criteria!B65</f>
        <v>2,4,6-Trichlorophenol</v>
      </c>
      <c r="C61" s="164" t="s">
        <v>47</v>
      </c>
      <c r="D61" s="164" t="s">
        <v>47</v>
      </c>
      <c r="E61" s="164">
        <v>0.2</v>
      </c>
      <c r="F61" s="164"/>
      <c r="G61" s="331">
        <f t="shared" si="0"/>
      </c>
      <c r="H61" s="91"/>
      <c r="I61" s="204" t="s">
        <v>47</v>
      </c>
      <c r="J61" s="73" t="s">
        <v>47</v>
      </c>
      <c r="K61" s="73">
        <v>1.3</v>
      </c>
      <c r="L61" s="88" t="s">
        <v>261</v>
      </c>
      <c r="M61" s="309">
        <f t="shared" si="2"/>
        <v>1.3</v>
      </c>
      <c r="N61" s="333" t="s">
        <v>261</v>
      </c>
      <c r="O61" s="308">
        <f t="shared" si="1"/>
      </c>
      <c r="P61" s="91"/>
      <c r="Q61" s="336" t="s">
        <v>463</v>
      </c>
      <c r="R61" s="534">
        <f t="shared" si="3"/>
      </c>
    </row>
    <row r="62" spans="1:18" ht="11.25">
      <c r="A62" s="429">
        <f>Criteria!A66</f>
        <v>56</v>
      </c>
      <c r="B62" s="72" t="str">
        <f>Criteria!B66</f>
        <v>Acenaphthene</v>
      </c>
      <c r="C62" s="164" t="s">
        <v>47</v>
      </c>
      <c r="D62" s="164" t="s">
        <v>47</v>
      </c>
      <c r="E62" s="164">
        <v>0.029</v>
      </c>
      <c r="F62" s="164"/>
      <c r="G62" s="331">
        <f t="shared" si="0"/>
      </c>
      <c r="H62" s="91"/>
      <c r="I62" s="204" t="s">
        <v>47</v>
      </c>
      <c r="J62" s="73" t="s">
        <v>48</v>
      </c>
      <c r="K62" s="73" t="s">
        <v>261</v>
      </c>
      <c r="L62" s="88">
        <v>0.0015</v>
      </c>
      <c r="M62" s="309">
        <f t="shared" si="2"/>
        <v>0.0015</v>
      </c>
      <c r="N62" s="333" t="s">
        <v>261</v>
      </c>
      <c r="O62" s="308">
        <f t="shared" si="1"/>
      </c>
      <c r="P62" s="91"/>
      <c r="Q62" s="336" t="s">
        <v>463</v>
      </c>
      <c r="R62" s="534">
        <f t="shared" si="3"/>
      </c>
    </row>
    <row r="63" spans="1:18" ht="11.25">
      <c r="A63" s="429">
        <f>Criteria!A67</f>
        <v>57</v>
      </c>
      <c r="B63" s="72" t="str">
        <f>Criteria!B67</f>
        <v>Acenephthylene</v>
      </c>
      <c r="C63" s="164" t="s">
        <v>47</v>
      </c>
      <c r="D63" s="164" t="s">
        <v>47</v>
      </c>
      <c r="E63" s="164">
        <v>0.019</v>
      </c>
      <c r="F63" s="164"/>
      <c r="G63" s="331">
        <f t="shared" si="0"/>
      </c>
      <c r="H63" s="91"/>
      <c r="I63" s="204" t="s">
        <v>47</v>
      </c>
      <c r="J63" s="73" t="s">
        <v>48</v>
      </c>
      <c r="K63" s="73" t="s">
        <v>261</v>
      </c>
      <c r="L63" s="88">
        <v>0.00053</v>
      </c>
      <c r="M63" s="309">
        <f t="shared" si="2"/>
        <v>0.00053</v>
      </c>
      <c r="N63" s="333" t="s">
        <v>261</v>
      </c>
      <c r="O63" s="308">
        <f t="shared" si="1"/>
      </c>
      <c r="P63" s="91"/>
      <c r="Q63" s="336" t="s">
        <v>463</v>
      </c>
      <c r="R63" s="534">
        <f t="shared" si="3"/>
      </c>
    </row>
    <row r="64" spans="1:18" ht="11.25">
      <c r="A64" s="429">
        <f>Criteria!A68</f>
        <v>58</v>
      </c>
      <c r="B64" s="72" t="str">
        <f>Criteria!B68</f>
        <v>Anthracene</v>
      </c>
      <c r="C64" s="164" t="s">
        <v>47</v>
      </c>
      <c r="D64" s="164" t="s">
        <v>47</v>
      </c>
      <c r="E64" s="164">
        <v>0.029</v>
      </c>
      <c r="F64" s="164"/>
      <c r="G64" s="331">
        <f t="shared" si="0"/>
      </c>
      <c r="H64" s="91"/>
      <c r="I64" s="204" t="s">
        <v>47</v>
      </c>
      <c r="J64" s="73" t="s">
        <v>48</v>
      </c>
      <c r="K64" s="73" t="s">
        <v>261</v>
      </c>
      <c r="L64" s="88">
        <v>0.0005</v>
      </c>
      <c r="M64" s="309">
        <f t="shared" si="2"/>
        <v>0.0005</v>
      </c>
      <c r="N64" s="333" t="s">
        <v>261</v>
      </c>
      <c r="O64" s="308">
        <f t="shared" si="1"/>
      </c>
      <c r="P64" s="91"/>
      <c r="Q64" s="336" t="s">
        <v>463</v>
      </c>
      <c r="R64" s="534">
        <f t="shared" si="3"/>
      </c>
    </row>
    <row r="65" spans="1:18" ht="11.25">
      <c r="A65" s="429">
        <f>Criteria!A69</f>
        <v>59</v>
      </c>
      <c r="B65" s="72" t="str">
        <f>Criteria!B69</f>
        <v>Benzidine</v>
      </c>
      <c r="C65" s="164" t="s">
        <v>47</v>
      </c>
      <c r="D65" s="164" t="s">
        <v>47</v>
      </c>
      <c r="E65" s="164">
        <v>0.3</v>
      </c>
      <c r="F65" s="164"/>
      <c r="G65" s="331">
        <f t="shared" si="0"/>
      </c>
      <c r="H65" s="91"/>
      <c r="I65" s="204" t="s">
        <v>47</v>
      </c>
      <c r="J65" s="74" t="s">
        <v>47</v>
      </c>
      <c r="K65" s="74">
        <v>0.0015</v>
      </c>
      <c r="L65" s="88" t="s">
        <v>261</v>
      </c>
      <c r="M65" s="309">
        <f t="shared" si="2"/>
        <v>0.0015</v>
      </c>
      <c r="N65" s="333" t="s">
        <v>261</v>
      </c>
      <c r="O65" s="308">
        <f t="shared" si="1"/>
      </c>
      <c r="P65" s="91"/>
      <c r="Q65" s="336" t="s">
        <v>463</v>
      </c>
      <c r="R65" s="534">
        <f t="shared" si="3"/>
      </c>
    </row>
    <row r="66" spans="1:18" ht="11.25">
      <c r="A66" s="429">
        <f>Criteria!A70</f>
        <v>60</v>
      </c>
      <c r="B66" s="72" t="str">
        <f>Criteria!B70</f>
        <v>Benzo(a)Anthracene</v>
      </c>
      <c r="C66" s="164" t="s">
        <v>47</v>
      </c>
      <c r="D66" s="164" t="s">
        <v>47</v>
      </c>
      <c r="E66" s="164">
        <v>0.019</v>
      </c>
      <c r="F66" s="164"/>
      <c r="G66" s="331">
        <f t="shared" si="0"/>
      </c>
      <c r="H66" s="91"/>
      <c r="I66" s="204" t="s">
        <v>47</v>
      </c>
      <c r="J66" s="73" t="s">
        <v>48</v>
      </c>
      <c r="K66" s="73" t="s">
        <v>261</v>
      </c>
      <c r="L66" s="88">
        <v>0.0053</v>
      </c>
      <c r="M66" s="309">
        <f t="shared" si="2"/>
        <v>0.0053</v>
      </c>
      <c r="N66" s="333" t="s">
        <v>261</v>
      </c>
      <c r="O66" s="308">
        <f t="shared" si="1"/>
      </c>
      <c r="P66" s="91"/>
      <c r="Q66" s="336" t="s">
        <v>463</v>
      </c>
      <c r="R66" s="534">
        <f t="shared" si="3"/>
      </c>
    </row>
    <row r="67" spans="1:18" ht="11.25">
      <c r="A67" s="429">
        <f>Criteria!A71</f>
        <v>61</v>
      </c>
      <c r="B67" s="72" t="str">
        <f>Criteria!B71</f>
        <v>Benzo(a)Pyrene</v>
      </c>
      <c r="C67" s="164" t="s">
        <v>47</v>
      </c>
      <c r="D67" s="164" t="s">
        <v>47</v>
      </c>
      <c r="E67" s="164">
        <v>0.019</v>
      </c>
      <c r="F67" s="164"/>
      <c r="G67" s="331">
        <f t="shared" si="0"/>
      </c>
      <c r="H67" s="91"/>
      <c r="I67" s="204" t="s">
        <v>47</v>
      </c>
      <c r="J67" s="73" t="s">
        <v>48</v>
      </c>
      <c r="K67" s="73" t="s">
        <v>261</v>
      </c>
      <c r="L67" s="88">
        <v>0.00029</v>
      </c>
      <c r="M67" s="309">
        <f t="shared" si="2"/>
        <v>0.00029</v>
      </c>
      <c r="N67" s="333" t="s">
        <v>261</v>
      </c>
      <c r="O67" s="308">
        <f t="shared" si="1"/>
      </c>
      <c r="P67" s="91"/>
      <c r="Q67" s="336" t="s">
        <v>463</v>
      </c>
      <c r="R67" s="534">
        <f t="shared" si="3"/>
      </c>
    </row>
    <row r="68" spans="1:18" ht="11.25">
      <c r="A68" s="429">
        <f>Criteria!A72</f>
        <v>62</v>
      </c>
      <c r="B68" s="72" t="str">
        <f>Criteria!B72</f>
        <v>Benzo(b)Fluoranthene</v>
      </c>
      <c r="C68" s="164" t="s">
        <v>47</v>
      </c>
      <c r="D68" s="164" t="s">
        <v>47</v>
      </c>
      <c r="E68" s="164">
        <v>0.029</v>
      </c>
      <c r="F68" s="164"/>
      <c r="G68" s="331">
        <f t="shared" si="0"/>
      </c>
      <c r="H68" s="91"/>
      <c r="I68" s="204" t="s">
        <v>47</v>
      </c>
      <c r="J68" s="73" t="s">
        <v>48</v>
      </c>
      <c r="K68" s="74" t="s">
        <v>261</v>
      </c>
      <c r="L68" s="88">
        <v>0.0046</v>
      </c>
      <c r="M68" s="309">
        <f t="shared" si="2"/>
        <v>0.0046</v>
      </c>
      <c r="N68" s="333" t="s">
        <v>261</v>
      </c>
      <c r="O68" s="308">
        <f t="shared" si="1"/>
      </c>
      <c r="P68" s="91"/>
      <c r="Q68" s="336" t="s">
        <v>463</v>
      </c>
      <c r="R68" s="534">
        <f t="shared" si="3"/>
      </c>
    </row>
    <row r="69" spans="1:18" ht="11.25">
      <c r="A69" s="429">
        <f>Criteria!A73</f>
        <v>63</v>
      </c>
      <c r="B69" s="72" t="str">
        <f>Criteria!B73</f>
        <v>Benzo(ghi)Perylene</v>
      </c>
      <c r="C69" s="164" t="s">
        <v>47</v>
      </c>
      <c r="D69" s="164" t="s">
        <v>47</v>
      </c>
      <c r="E69" s="164">
        <v>0.029</v>
      </c>
      <c r="F69" s="164"/>
      <c r="G69" s="331">
        <f t="shared" si="0"/>
      </c>
      <c r="H69" s="91"/>
      <c r="I69" s="204" t="s">
        <v>47</v>
      </c>
      <c r="J69" s="73" t="s">
        <v>48</v>
      </c>
      <c r="K69" s="73" t="s">
        <v>261</v>
      </c>
      <c r="L69" s="88">
        <v>0.0027</v>
      </c>
      <c r="M69" s="309">
        <f t="shared" si="2"/>
        <v>0.0027</v>
      </c>
      <c r="N69" s="333" t="s">
        <v>261</v>
      </c>
      <c r="O69" s="308">
        <f t="shared" si="1"/>
      </c>
      <c r="P69" s="91"/>
      <c r="Q69" s="336" t="s">
        <v>463</v>
      </c>
      <c r="R69" s="534">
        <f t="shared" si="3"/>
      </c>
    </row>
    <row r="70" spans="1:18" ht="11.25">
      <c r="A70" s="429">
        <f>Criteria!A74</f>
        <v>64</v>
      </c>
      <c r="B70" s="72" t="str">
        <f>Criteria!B74</f>
        <v>Benzo(k)Fluoranthene</v>
      </c>
      <c r="C70" s="164" t="s">
        <v>47</v>
      </c>
      <c r="D70" s="164" t="s">
        <v>47</v>
      </c>
      <c r="E70" s="164">
        <v>0.039</v>
      </c>
      <c r="F70" s="164"/>
      <c r="G70" s="331">
        <f aca="true" t="shared" si="4" ref="G70:G127">IF(C70="","Check input1",IF(C70="Y",IF(D70="","Check input2",IF(D70="Y",IF(E70="","Check input3",IF(F70="","","Check input4")),IF(E70="",IF(F70="","Check input5",""),"Check input6"))),IF(D70="",IF(E70="",IF(F70="","","Check input7"),"Check input8"),"Check input9")))</f>
      </c>
      <c r="H70" s="91"/>
      <c r="I70" s="204" t="s">
        <v>47</v>
      </c>
      <c r="J70" s="73" t="s">
        <v>48</v>
      </c>
      <c r="K70" s="73" t="s">
        <v>261</v>
      </c>
      <c r="L70" s="303">
        <v>0.0015</v>
      </c>
      <c r="M70" s="309">
        <f t="shared" si="2"/>
        <v>0.0015</v>
      </c>
      <c r="N70" s="333" t="s">
        <v>261</v>
      </c>
      <c r="O70" s="308">
        <f aca="true" t="shared" si="5" ref="O70:O127">IF(I70="","Check input1",IF(I70="Y",IF(J70="","Check input2",IF(J70="Y",IF(K70="","Check input3",IF(L70="","","Check input4")),IF(K70="",IF(L70="","Check input5",""),"Check input6"))),IF(J70="",IF(K70="",IF(L70="","","Check input7"),"Check input8"),"Check input9")))</f>
      </c>
      <c r="P70" s="91"/>
      <c r="Q70" s="336" t="s">
        <v>463</v>
      </c>
      <c r="R70" s="534">
        <f t="shared" si="3"/>
      </c>
    </row>
    <row r="71" spans="1:18" ht="11.25">
      <c r="A71" s="429">
        <f>Criteria!A75</f>
        <v>65</v>
      </c>
      <c r="B71" s="72" t="str">
        <f>Criteria!B75</f>
        <v>Bis(2-Chloroethoxy)Methane</v>
      </c>
      <c r="C71" s="164" t="s">
        <v>47</v>
      </c>
      <c r="D71" s="164" t="s">
        <v>47</v>
      </c>
      <c r="E71" s="164">
        <v>0.3</v>
      </c>
      <c r="F71" s="164"/>
      <c r="G71" s="331">
        <f t="shared" si="4"/>
      </c>
      <c r="H71" s="91"/>
      <c r="I71" s="204" t="s">
        <v>47</v>
      </c>
      <c r="J71" s="73" t="s">
        <v>47</v>
      </c>
      <c r="K71" s="73">
        <v>0.3</v>
      </c>
      <c r="L71" s="304" t="s">
        <v>261</v>
      </c>
      <c r="M71" s="309">
        <f aca="true" t="shared" si="6" ref="M71:M128">IF(I71="N","",IF(J71="N",L71,K71))</f>
        <v>0.3</v>
      </c>
      <c r="N71" s="333" t="s">
        <v>261</v>
      </c>
      <c r="O71" s="308">
        <f t="shared" si="5"/>
      </c>
      <c r="P71" s="91"/>
      <c r="Q71" s="336" t="s">
        <v>463</v>
      </c>
      <c r="R71" s="534">
        <f aca="true" t="shared" si="7" ref="R71:R129">IF(AND(Q71&lt;&gt;"No",Q71&lt;&gt;"Yes"),"ERROR","")</f>
      </c>
    </row>
    <row r="72" spans="1:18" ht="11.25">
      <c r="A72" s="429">
        <f>Criteria!A76</f>
        <v>66</v>
      </c>
      <c r="B72" s="72" t="str">
        <f>Criteria!B76</f>
        <v>Bis(2-Chloroethyl)Ether</v>
      </c>
      <c r="C72" s="164" t="s">
        <v>47</v>
      </c>
      <c r="D72" s="164" t="s">
        <v>47</v>
      </c>
      <c r="E72" s="164">
        <v>0.3</v>
      </c>
      <c r="F72" s="164"/>
      <c r="G72" s="331">
        <f t="shared" si="4"/>
      </c>
      <c r="H72" s="91"/>
      <c r="I72" s="204" t="s">
        <v>47</v>
      </c>
      <c r="J72" s="73" t="s">
        <v>47</v>
      </c>
      <c r="K72" s="73">
        <v>0.3</v>
      </c>
      <c r="L72" s="304" t="s">
        <v>261</v>
      </c>
      <c r="M72" s="309">
        <f t="shared" si="6"/>
        <v>0.3</v>
      </c>
      <c r="N72" s="333" t="s">
        <v>261</v>
      </c>
      <c r="O72" s="308">
        <f t="shared" si="5"/>
      </c>
      <c r="P72" s="91"/>
      <c r="Q72" s="336" t="s">
        <v>463</v>
      </c>
      <c r="R72" s="534">
        <f t="shared" si="7"/>
      </c>
    </row>
    <row r="73" spans="1:18" ht="11.25">
      <c r="A73" s="429">
        <f>Criteria!A77</f>
        <v>67</v>
      </c>
      <c r="B73" s="72" t="str">
        <f>Criteria!B77</f>
        <v>Bis(2-Chloroisopropyl)Ether</v>
      </c>
      <c r="C73" s="164" t="s">
        <v>47</v>
      </c>
      <c r="D73" s="164" t="s">
        <v>47</v>
      </c>
      <c r="E73" s="164">
        <v>0.6</v>
      </c>
      <c r="F73" s="164"/>
      <c r="G73" s="331">
        <f t="shared" si="4"/>
      </c>
      <c r="H73" s="91"/>
      <c r="I73" s="205" t="s">
        <v>47</v>
      </c>
      <c r="J73" s="206" t="s">
        <v>47</v>
      </c>
      <c r="K73" s="73">
        <v>0.6</v>
      </c>
      <c r="L73" s="304"/>
      <c r="M73" s="309">
        <f t="shared" si="6"/>
        <v>0.6</v>
      </c>
      <c r="N73" s="333" t="s">
        <v>261</v>
      </c>
      <c r="O73" s="308">
        <f t="shared" si="5"/>
      </c>
      <c r="P73" s="91"/>
      <c r="Q73" s="336" t="s">
        <v>463</v>
      </c>
      <c r="R73" s="534">
        <f t="shared" si="7"/>
      </c>
    </row>
    <row r="74" spans="1:18" ht="11.25">
      <c r="A74" s="429">
        <f>Criteria!A78</f>
        <v>68</v>
      </c>
      <c r="B74" s="72" t="str">
        <f>Criteria!B78</f>
        <v>Bis(2-Ethylhexyl)Phthalate</v>
      </c>
      <c r="C74" s="164" t="s">
        <v>47</v>
      </c>
      <c r="D74" s="164" t="s">
        <v>48</v>
      </c>
      <c r="E74" s="164"/>
      <c r="F74" s="164">
        <v>2</v>
      </c>
      <c r="G74" s="331">
        <f t="shared" si="4"/>
      </c>
      <c r="H74" s="91"/>
      <c r="I74" s="204" t="s">
        <v>47</v>
      </c>
      <c r="J74" s="73" t="s">
        <v>47</v>
      </c>
      <c r="K74" s="73">
        <v>0.5</v>
      </c>
      <c r="L74" s="305"/>
      <c r="M74" s="311">
        <f t="shared" si="6"/>
        <v>0.5</v>
      </c>
      <c r="N74" s="335" t="s">
        <v>261</v>
      </c>
      <c r="O74" s="308">
        <f t="shared" si="5"/>
      </c>
      <c r="P74" s="91"/>
      <c r="Q74" s="336" t="s">
        <v>463</v>
      </c>
      <c r="R74" s="534">
        <f t="shared" si="7"/>
      </c>
    </row>
    <row r="75" spans="1:18" ht="11.25">
      <c r="A75" s="429">
        <f>Criteria!A79</f>
        <v>69</v>
      </c>
      <c r="B75" s="72" t="str">
        <f>Criteria!B79</f>
        <v>4-Bromophenyl Phenyl Ether</v>
      </c>
      <c r="C75" s="164" t="s">
        <v>47</v>
      </c>
      <c r="D75" s="164" t="s">
        <v>47</v>
      </c>
      <c r="E75" s="164">
        <v>0.4</v>
      </c>
      <c r="F75" s="164"/>
      <c r="G75" s="331">
        <f t="shared" si="4"/>
      </c>
      <c r="H75" s="91"/>
      <c r="I75" s="204" t="s">
        <v>47</v>
      </c>
      <c r="J75" s="73" t="s">
        <v>47</v>
      </c>
      <c r="K75" s="73">
        <v>0.23</v>
      </c>
      <c r="L75" s="304" t="s">
        <v>261</v>
      </c>
      <c r="M75" s="309">
        <f t="shared" si="6"/>
        <v>0.23</v>
      </c>
      <c r="N75" s="333" t="s">
        <v>261</v>
      </c>
      <c r="O75" s="308">
        <f t="shared" si="5"/>
      </c>
      <c r="P75" s="91"/>
      <c r="Q75" s="336" t="s">
        <v>463</v>
      </c>
      <c r="R75" s="534">
        <f t="shared" si="7"/>
      </c>
    </row>
    <row r="76" spans="1:18" ht="11.25">
      <c r="A76" s="429">
        <f>Criteria!A80</f>
        <v>70</v>
      </c>
      <c r="B76" s="72" t="str">
        <f>Criteria!B80</f>
        <v>Butylbenzyl Phthalate</v>
      </c>
      <c r="C76" s="164" t="s">
        <v>47</v>
      </c>
      <c r="D76" s="164" t="s">
        <v>47</v>
      </c>
      <c r="E76" s="164">
        <v>0.4</v>
      </c>
      <c r="F76" s="164"/>
      <c r="G76" s="331">
        <f t="shared" si="4"/>
      </c>
      <c r="H76" s="91"/>
      <c r="I76" s="204" t="s">
        <v>47</v>
      </c>
      <c r="J76" s="73" t="s">
        <v>47</v>
      </c>
      <c r="K76" s="73">
        <v>0.52</v>
      </c>
      <c r="L76" s="304" t="s">
        <v>261</v>
      </c>
      <c r="M76" s="309">
        <f t="shared" si="6"/>
        <v>0.52</v>
      </c>
      <c r="N76" s="333" t="s">
        <v>261</v>
      </c>
      <c r="O76" s="308">
        <f t="shared" si="5"/>
      </c>
      <c r="P76" s="91"/>
      <c r="Q76" s="336" t="s">
        <v>463</v>
      </c>
      <c r="R76" s="534">
        <f t="shared" si="7"/>
      </c>
    </row>
    <row r="77" spans="1:18" ht="11.25">
      <c r="A77" s="429">
        <f>Criteria!A81</f>
        <v>71</v>
      </c>
      <c r="B77" s="72" t="str">
        <f>Criteria!B81</f>
        <v>2-Chloronaphthalene</v>
      </c>
      <c r="C77" s="164" t="s">
        <v>47</v>
      </c>
      <c r="D77" s="164" t="s">
        <v>47</v>
      </c>
      <c r="E77" s="164">
        <v>0.3</v>
      </c>
      <c r="F77" s="164"/>
      <c r="G77" s="331">
        <f t="shared" si="4"/>
      </c>
      <c r="H77" s="91"/>
      <c r="I77" s="204" t="s">
        <v>47</v>
      </c>
      <c r="J77" s="73" t="s">
        <v>47</v>
      </c>
      <c r="K77" s="73">
        <v>0.3</v>
      </c>
      <c r="L77" s="304" t="s">
        <v>261</v>
      </c>
      <c r="M77" s="309">
        <f t="shared" si="6"/>
        <v>0.3</v>
      </c>
      <c r="N77" s="333" t="s">
        <v>261</v>
      </c>
      <c r="O77" s="308">
        <f t="shared" si="5"/>
      </c>
      <c r="P77" s="91"/>
      <c r="Q77" s="336" t="s">
        <v>463</v>
      </c>
      <c r="R77" s="534">
        <f t="shared" si="7"/>
      </c>
    </row>
    <row r="78" spans="1:18" ht="11.25">
      <c r="A78" s="429">
        <f>Criteria!A82</f>
        <v>72</v>
      </c>
      <c r="B78" s="72" t="str">
        <f>Criteria!B82</f>
        <v>4-Chlorophenyl Phenyl Ether</v>
      </c>
      <c r="C78" s="164" t="s">
        <v>47</v>
      </c>
      <c r="D78" s="164" t="s">
        <v>47</v>
      </c>
      <c r="E78" s="164">
        <v>0.4</v>
      </c>
      <c r="F78" s="164"/>
      <c r="G78" s="331">
        <f t="shared" si="4"/>
      </c>
      <c r="H78" s="91"/>
      <c r="I78" s="204" t="s">
        <v>47</v>
      </c>
      <c r="J78" s="73" t="s">
        <v>47</v>
      </c>
      <c r="K78" s="73">
        <v>0.3</v>
      </c>
      <c r="L78" s="304" t="s">
        <v>261</v>
      </c>
      <c r="M78" s="309">
        <f t="shared" si="6"/>
        <v>0.3</v>
      </c>
      <c r="N78" s="333" t="s">
        <v>261</v>
      </c>
      <c r="O78" s="308">
        <f t="shared" si="5"/>
      </c>
      <c r="P78" s="91"/>
      <c r="Q78" s="336" t="s">
        <v>463</v>
      </c>
      <c r="R78" s="534">
        <f t="shared" si="7"/>
      </c>
    </row>
    <row r="79" spans="1:18" ht="11.25">
      <c r="A79" s="429">
        <f>Criteria!A83</f>
        <v>73</v>
      </c>
      <c r="B79" s="72" t="str">
        <f>Criteria!B83</f>
        <v>Chrysene</v>
      </c>
      <c r="C79" s="164" t="s">
        <v>47</v>
      </c>
      <c r="D79" s="164" t="s">
        <v>47</v>
      </c>
      <c r="E79" s="164">
        <v>0.039</v>
      </c>
      <c r="F79" s="164"/>
      <c r="G79" s="331">
        <f t="shared" si="4"/>
      </c>
      <c r="H79" s="91"/>
      <c r="I79" s="204" t="s">
        <v>47</v>
      </c>
      <c r="J79" s="73" t="s">
        <v>48</v>
      </c>
      <c r="K79" s="73" t="s">
        <v>261</v>
      </c>
      <c r="L79" s="303">
        <v>0.0024</v>
      </c>
      <c r="M79" s="309">
        <f t="shared" si="6"/>
        <v>0.0024</v>
      </c>
      <c r="N79" s="333" t="s">
        <v>261</v>
      </c>
      <c r="O79" s="308">
        <f t="shared" si="5"/>
      </c>
      <c r="P79" s="91"/>
      <c r="Q79" s="336" t="s">
        <v>463</v>
      </c>
      <c r="R79" s="534">
        <f t="shared" si="7"/>
      </c>
    </row>
    <row r="80" spans="1:18" ht="11.25">
      <c r="A80" s="429">
        <f>Criteria!A84</f>
        <v>74</v>
      </c>
      <c r="B80" s="72" t="str">
        <f>Criteria!B84</f>
        <v>Dibenzo(a,h)Anthracene</v>
      </c>
      <c r="C80" s="164" t="s">
        <v>47</v>
      </c>
      <c r="D80" s="164" t="s">
        <v>47</v>
      </c>
      <c r="E80" s="164">
        <v>0.029</v>
      </c>
      <c r="F80" s="164"/>
      <c r="G80" s="331">
        <f t="shared" si="4"/>
      </c>
      <c r="H80" s="91"/>
      <c r="I80" s="204" t="s">
        <v>47</v>
      </c>
      <c r="J80" s="73" t="s">
        <v>48</v>
      </c>
      <c r="K80" s="73" t="s">
        <v>261</v>
      </c>
      <c r="L80" s="303">
        <v>0.00064</v>
      </c>
      <c r="M80" s="309">
        <f t="shared" si="6"/>
        <v>0.00064</v>
      </c>
      <c r="N80" s="333" t="s">
        <v>261</v>
      </c>
      <c r="O80" s="308">
        <f t="shared" si="5"/>
      </c>
      <c r="P80" s="91"/>
      <c r="Q80" s="336" t="s">
        <v>463</v>
      </c>
      <c r="R80" s="534">
        <f t="shared" si="7"/>
      </c>
    </row>
    <row r="81" spans="1:18" ht="11.25">
      <c r="A81" s="429">
        <f>Criteria!A85</f>
        <v>75</v>
      </c>
      <c r="B81" s="72" t="str">
        <f>Criteria!B85</f>
        <v>1,2-Dichlorobenzene</v>
      </c>
      <c r="C81" s="164" t="s">
        <v>47</v>
      </c>
      <c r="D81" s="164" t="s">
        <v>47</v>
      </c>
      <c r="E81" s="164">
        <v>0.05</v>
      </c>
      <c r="F81" s="164"/>
      <c r="G81" s="331">
        <f t="shared" si="4"/>
      </c>
      <c r="H81" s="91"/>
      <c r="I81" s="204" t="s">
        <v>47</v>
      </c>
      <c r="J81" s="73" t="s">
        <v>47</v>
      </c>
      <c r="K81" s="73">
        <v>0.3</v>
      </c>
      <c r="L81" s="304" t="s">
        <v>261</v>
      </c>
      <c r="M81" s="309">
        <f t="shared" si="6"/>
        <v>0.3</v>
      </c>
      <c r="N81" s="333" t="s">
        <v>261</v>
      </c>
      <c r="O81" s="308">
        <f t="shared" si="5"/>
      </c>
      <c r="P81" s="91"/>
      <c r="Q81" s="336" t="s">
        <v>463</v>
      </c>
      <c r="R81" s="534">
        <f t="shared" si="7"/>
      </c>
    </row>
    <row r="82" spans="1:18" ht="11.25">
      <c r="A82" s="429">
        <f>Criteria!A86</f>
        <v>76</v>
      </c>
      <c r="B82" s="72" t="str">
        <f>Criteria!B86</f>
        <v>1,3-Dichlorobenzene</v>
      </c>
      <c r="C82" s="164" t="s">
        <v>47</v>
      </c>
      <c r="D82" s="164" t="s">
        <v>47</v>
      </c>
      <c r="E82" s="164">
        <v>0.07</v>
      </c>
      <c r="F82" s="164"/>
      <c r="G82" s="331">
        <f t="shared" si="4"/>
      </c>
      <c r="H82" s="91"/>
      <c r="I82" s="204" t="s">
        <v>47</v>
      </c>
      <c r="J82" s="73" t="s">
        <v>47</v>
      </c>
      <c r="K82" s="73">
        <v>0.3</v>
      </c>
      <c r="L82" s="304" t="s">
        <v>261</v>
      </c>
      <c r="M82" s="309">
        <f t="shared" si="6"/>
        <v>0.3</v>
      </c>
      <c r="N82" s="333" t="s">
        <v>261</v>
      </c>
      <c r="O82" s="308">
        <f t="shared" si="5"/>
      </c>
      <c r="P82" s="91"/>
      <c r="Q82" s="336" t="s">
        <v>463</v>
      </c>
      <c r="R82" s="534">
        <f t="shared" si="7"/>
      </c>
    </row>
    <row r="83" spans="1:18" ht="11.25">
      <c r="A83" s="429">
        <f>Criteria!A87</f>
        <v>77</v>
      </c>
      <c r="B83" s="72" t="str">
        <f>Criteria!B87</f>
        <v>1,4-Dichlorobenzene</v>
      </c>
      <c r="C83" s="164" t="s">
        <v>47</v>
      </c>
      <c r="D83" s="164" t="s">
        <v>48</v>
      </c>
      <c r="E83" s="164"/>
      <c r="F83" s="164">
        <v>1.5</v>
      </c>
      <c r="G83" s="331">
        <f t="shared" si="4"/>
      </c>
      <c r="H83" s="91"/>
      <c r="I83" s="204" t="s">
        <v>47</v>
      </c>
      <c r="J83" s="73" t="s">
        <v>47</v>
      </c>
      <c r="K83" s="73">
        <v>0.3</v>
      </c>
      <c r="L83" s="304" t="s">
        <v>261</v>
      </c>
      <c r="M83" s="309">
        <f t="shared" si="6"/>
        <v>0.3</v>
      </c>
      <c r="N83" s="333" t="s">
        <v>261</v>
      </c>
      <c r="O83" s="308">
        <f t="shared" si="5"/>
      </c>
      <c r="P83" s="91"/>
      <c r="Q83" s="336" t="s">
        <v>463</v>
      </c>
      <c r="R83" s="534">
        <f t="shared" si="7"/>
      </c>
    </row>
    <row r="84" spans="1:18" ht="11.25">
      <c r="A84" s="429">
        <f>Criteria!A88</f>
        <v>78</v>
      </c>
      <c r="B84" s="72" t="str">
        <f>Criteria!B88</f>
        <v>3,3'-Dichlorobenzidine</v>
      </c>
      <c r="C84" s="164" t="s">
        <v>47</v>
      </c>
      <c r="D84" s="164" t="s">
        <v>47</v>
      </c>
      <c r="E84" s="164">
        <v>0.3</v>
      </c>
      <c r="F84" s="164"/>
      <c r="G84" s="331">
        <f t="shared" si="4"/>
      </c>
      <c r="H84" s="91"/>
      <c r="I84" s="204" t="s">
        <v>47</v>
      </c>
      <c r="J84" s="73" t="s">
        <v>47</v>
      </c>
      <c r="K84" s="73">
        <v>0.001</v>
      </c>
      <c r="L84" s="304" t="s">
        <v>261</v>
      </c>
      <c r="M84" s="309">
        <f t="shared" si="6"/>
        <v>0.001</v>
      </c>
      <c r="N84" s="333" t="s">
        <v>261</v>
      </c>
      <c r="O84" s="308">
        <f t="shared" si="5"/>
      </c>
      <c r="P84" s="91"/>
      <c r="Q84" s="336" t="s">
        <v>463</v>
      </c>
      <c r="R84" s="534">
        <f t="shared" si="7"/>
      </c>
    </row>
    <row r="85" spans="1:18" ht="11.25">
      <c r="A85" s="429">
        <f>Criteria!A89</f>
        <v>79</v>
      </c>
      <c r="B85" s="72" t="str">
        <f>Criteria!B89</f>
        <v>Diethyl Phthalate</v>
      </c>
      <c r="C85" s="164" t="s">
        <v>47</v>
      </c>
      <c r="D85" s="164" t="s">
        <v>47</v>
      </c>
      <c r="E85" s="164">
        <v>0.4</v>
      </c>
      <c r="F85" s="164"/>
      <c r="G85" s="331">
        <f t="shared" si="4"/>
      </c>
      <c r="H85" s="91"/>
      <c r="I85" s="204" t="s">
        <v>47</v>
      </c>
      <c r="J85" s="73" t="s">
        <v>47</v>
      </c>
      <c r="K85" s="73">
        <v>0.24</v>
      </c>
      <c r="L85" s="304" t="s">
        <v>261</v>
      </c>
      <c r="M85" s="309">
        <f t="shared" si="6"/>
        <v>0.24</v>
      </c>
      <c r="N85" s="333" t="s">
        <v>261</v>
      </c>
      <c r="O85" s="308">
        <f t="shared" si="5"/>
      </c>
      <c r="P85" s="91"/>
      <c r="Q85" s="336" t="s">
        <v>463</v>
      </c>
      <c r="R85" s="534">
        <f t="shared" si="7"/>
      </c>
    </row>
    <row r="86" spans="1:18" ht="11.25">
      <c r="A86" s="429">
        <f>Criteria!A90</f>
        <v>80</v>
      </c>
      <c r="B86" s="72" t="str">
        <f>Criteria!B90</f>
        <v>Dimethyl Phthalate</v>
      </c>
      <c r="C86" s="164" t="s">
        <v>47</v>
      </c>
      <c r="D86" s="164" t="s">
        <v>47</v>
      </c>
      <c r="E86" s="164">
        <v>0.4</v>
      </c>
      <c r="F86" s="164"/>
      <c r="G86" s="331">
        <f t="shared" si="4"/>
      </c>
      <c r="H86" s="91"/>
      <c r="I86" s="204" t="s">
        <v>47</v>
      </c>
      <c r="J86" s="74" t="s">
        <v>47</v>
      </c>
      <c r="K86" s="74">
        <v>0.24</v>
      </c>
      <c r="L86" s="304" t="s">
        <v>261</v>
      </c>
      <c r="M86" s="309">
        <f t="shared" si="6"/>
        <v>0.24</v>
      </c>
      <c r="N86" s="333" t="s">
        <v>261</v>
      </c>
      <c r="O86" s="308">
        <f t="shared" si="5"/>
      </c>
      <c r="P86" s="91"/>
      <c r="Q86" s="336" t="s">
        <v>463</v>
      </c>
      <c r="R86" s="534">
        <f t="shared" si="7"/>
      </c>
    </row>
    <row r="87" spans="1:18" ht="11.25">
      <c r="A87" s="429">
        <f>Criteria!A91</f>
        <v>81</v>
      </c>
      <c r="B87" s="72" t="str">
        <f>Criteria!B91</f>
        <v>Di-n-Butyl Phthalate</v>
      </c>
      <c r="C87" s="164" t="s">
        <v>47</v>
      </c>
      <c r="D87" s="164" t="s">
        <v>47</v>
      </c>
      <c r="E87" s="164">
        <v>0.4</v>
      </c>
      <c r="F87" s="164"/>
      <c r="G87" s="331">
        <f t="shared" si="4"/>
      </c>
      <c r="H87" s="91"/>
      <c r="I87" s="204" t="s">
        <v>47</v>
      </c>
      <c r="J87" s="73" t="s">
        <v>47</v>
      </c>
      <c r="K87" s="73">
        <v>0.5</v>
      </c>
      <c r="L87" s="304" t="s">
        <v>261</v>
      </c>
      <c r="M87" s="309">
        <f t="shared" si="6"/>
        <v>0.5</v>
      </c>
      <c r="N87" s="333" t="s">
        <v>261</v>
      </c>
      <c r="O87" s="308">
        <f t="shared" si="5"/>
      </c>
      <c r="P87" s="91"/>
      <c r="Q87" s="336" t="s">
        <v>463</v>
      </c>
      <c r="R87" s="534">
        <f t="shared" si="7"/>
      </c>
    </row>
    <row r="88" spans="1:18" ht="11.25">
      <c r="A88" s="429">
        <f>Criteria!A92</f>
        <v>82</v>
      </c>
      <c r="B88" s="72" t="str">
        <f>Criteria!B92</f>
        <v>2,4-Dinitrotoluene</v>
      </c>
      <c r="C88" s="164" t="s">
        <v>47</v>
      </c>
      <c r="D88" s="164" t="s">
        <v>47</v>
      </c>
      <c r="E88" s="164">
        <v>0.3</v>
      </c>
      <c r="F88" s="164"/>
      <c r="G88" s="331">
        <f t="shared" si="4"/>
      </c>
      <c r="H88" s="91"/>
      <c r="I88" s="204" t="s">
        <v>47</v>
      </c>
      <c r="J88" s="73" t="s">
        <v>47</v>
      </c>
      <c r="K88" s="73">
        <v>0.27</v>
      </c>
      <c r="L88" s="304" t="s">
        <v>261</v>
      </c>
      <c r="M88" s="309">
        <f t="shared" si="6"/>
        <v>0.27</v>
      </c>
      <c r="N88" s="333" t="s">
        <v>261</v>
      </c>
      <c r="O88" s="308">
        <f t="shared" si="5"/>
      </c>
      <c r="P88" s="91"/>
      <c r="Q88" s="336" t="s">
        <v>463</v>
      </c>
      <c r="R88" s="534">
        <f t="shared" si="7"/>
      </c>
    </row>
    <row r="89" spans="1:18" ht="11.25">
      <c r="A89" s="429">
        <f>Criteria!A93</f>
        <v>83</v>
      </c>
      <c r="B89" s="72" t="str">
        <f>Criteria!B93</f>
        <v>2,6-Dinitrotoluene</v>
      </c>
      <c r="C89" s="164" t="s">
        <v>47</v>
      </c>
      <c r="D89" s="164" t="s">
        <v>47</v>
      </c>
      <c r="E89" s="164">
        <v>0.3</v>
      </c>
      <c r="F89" s="164"/>
      <c r="G89" s="331">
        <f t="shared" si="4"/>
      </c>
      <c r="H89" s="91"/>
      <c r="I89" s="204" t="s">
        <v>47</v>
      </c>
      <c r="J89" s="73" t="s">
        <v>47</v>
      </c>
      <c r="K89" s="73">
        <v>0.29</v>
      </c>
      <c r="L89" s="304" t="s">
        <v>261</v>
      </c>
      <c r="M89" s="309">
        <f t="shared" si="6"/>
        <v>0.29</v>
      </c>
      <c r="N89" s="333" t="s">
        <v>261</v>
      </c>
      <c r="O89" s="308">
        <f t="shared" si="5"/>
      </c>
      <c r="P89" s="91"/>
      <c r="Q89" s="336" t="s">
        <v>463</v>
      </c>
      <c r="R89" s="534">
        <f t="shared" si="7"/>
      </c>
    </row>
    <row r="90" spans="1:18" ht="11.25">
      <c r="A90" s="429">
        <f>Criteria!A94</f>
        <v>84</v>
      </c>
      <c r="B90" s="72" t="str">
        <f>Criteria!B94</f>
        <v>Di-n-Octyl Phthalate</v>
      </c>
      <c r="C90" s="164" t="s">
        <v>47</v>
      </c>
      <c r="D90" s="164" t="s">
        <v>47</v>
      </c>
      <c r="E90" s="164">
        <v>0.4</v>
      </c>
      <c r="F90" s="164"/>
      <c r="G90" s="331">
        <f t="shared" si="4"/>
      </c>
      <c r="H90" s="91"/>
      <c r="I90" s="204" t="s">
        <v>47</v>
      </c>
      <c r="J90" s="73" t="s">
        <v>47</v>
      </c>
      <c r="K90" s="73">
        <v>0.38</v>
      </c>
      <c r="L90" s="304" t="s">
        <v>261</v>
      </c>
      <c r="M90" s="309">
        <f t="shared" si="6"/>
        <v>0.38</v>
      </c>
      <c r="N90" s="333" t="s">
        <v>261</v>
      </c>
      <c r="O90" s="308">
        <f t="shared" si="5"/>
      </c>
      <c r="P90" s="91"/>
      <c r="Q90" s="336" t="s">
        <v>463</v>
      </c>
      <c r="R90" s="534">
        <f t="shared" si="7"/>
      </c>
    </row>
    <row r="91" spans="1:18" ht="11.25">
      <c r="A91" s="429">
        <f>Criteria!A95</f>
        <v>85</v>
      </c>
      <c r="B91" s="72" t="str">
        <f>Criteria!B95</f>
        <v>1,2-Diphenylhydrazine</v>
      </c>
      <c r="C91" s="164" t="s">
        <v>47</v>
      </c>
      <c r="D91" s="164" t="s">
        <v>47</v>
      </c>
      <c r="E91" s="164">
        <v>0.3</v>
      </c>
      <c r="F91" s="164"/>
      <c r="G91" s="331">
        <f t="shared" si="4"/>
      </c>
      <c r="H91" s="91"/>
      <c r="I91" s="204" t="s">
        <v>47</v>
      </c>
      <c r="J91" s="73" t="s">
        <v>48</v>
      </c>
      <c r="K91" s="74" t="s">
        <v>261</v>
      </c>
      <c r="L91" s="304">
        <v>0.0037</v>
      </c>
      <c r="M91" s="309">
        <f t="shared" si="6"/>
        <v>0.0037</v>
      </c>
      <c r="N91" s="333" t="s">
        <v>261</v>
      </c>
      <c r="O91" s="308">
        <f t="shared" si="5"/>
      </c>
      <c r="P91" s="91"/>
      <c r="Q91" s="336" t="s">
        <v>463</v>
      </c>
      <c r="R91" s="534">
        <f t="shared" si="7"/>
      </c>
    </row>
    <row r="92" spans="1:18" ht="11.25">
      <c r="A92" s="429">
        <f>Criteria!A96</f>
        <v>86</v>
      </c>
      <c r="B92" s="72" t="str">
        <f>Criteria!B96</f>
        <v>Fluoranthene</v>
      </c>
      <c r="C92" s="164" t="s">
        <v>47</v>
      </c>
      <c r="D92" s="164" t="s">
        <v>47</v>
      </c>
      <c r="E92" s="164">
        <v>0.029</v>
      </c>
      <c r="F92" s="164"/>
      <c r="G92" s="331">
        <f t="shared" si="4"/>
      </c>
      <c r="H92" s="91"/>
      <c r="I92" s="204" t="s">
        <v>47</v>
      </c>
      <c r="J92" s="73" t="s">
        <v>48</v>
      </c>
      <c r="K92" s="73" t="s">
        <v>261</v>
      </c>
      <c r="L92" s="303">
        <v>0.011</v>
      </c>
      <c r="M92" s="309">
        <f t="shared" si="6"/>
        <v>0.011</v>
      </c>
      <c r="N92" s="333" t="s">
        <v>261</v>
      </c>
      <c r="O92" s="308">
        <f t="shared" si="5"/>
      </c>
      <c r="P92" s="91"/>
      <c r="Q92" s="336" t="s">
        <v>463</v>
      </c>
      <c r="R92" s="534">
        <f t="shared" si="7"/>
      </c>
    </row>
    <row r="93" spans="1:18" ht="11.25">
      <c r="A93" s="429">
        <f>Criteria!A97</f>
        <v>87</v>
      </c>
      <c r="B93" s="72" t="str">
        <f>Criteria!B97</f>
        <v>Fluorene</v>
      </c>
      <c r="C93" s="164" t="s">
        <v>47</v>
      </c>
      <c r="D93" s="164" t="s">
        <v>47</v>
      </c>
      <c r="E93" s="164">
        <v>0.02</v>
      </c>
      <c r="F93" s="164"/>
      <c r="G93" s="331">
        <f t="shared" si="4"/>
      </c>
      <c r="H93" s="91"/>
      <c r="I93" s="204" t="s">
        <v>47</v>
      </c>
      <c r="J93" s="73" t="s">
        <v>48</v>
      </c>
      <c r="K93" s="73" t="s">
        <v>261</v>
      </c>
      <c r="L93" s="303">
        <v>0.0020800000000000003</v>
      </c>
      <c r="M93" s="309">
        <f t="shared" si="6"/>
        <v>0.0020800000000000003</v>
      </c>
      <c r="N93" s="333" t="s">
        <v>261</v>
      </c>
      <c r="O93" s="308">
        <f t="shared" si="5"/>
      </c>
      <c r="P93" s="91"/>
      <c r="Q93" s="336" t="s">
        <v>463</v>
      </c>
      <c r="R93" s="534">
        <f t="shared" si="7"/>
      </c>
    </row>
    <row r="94" spans="1:18" ht="11.25">
      <c r="A94" s="429">
        <f>Criteria!A98</f>
        <v>88</v>
      </c>
      <c r="B94" s="72" t="str">
        <f>Criteria!B98</f>
        <v>Hexachlorobenzene</v>
      </c>
      <c r="C94" s="164" t="s">
        <v>47</v>
      </c>
      <c r="D94" s="164" t="s">
        <v>47</v>
      </c>
      <c r="E94" s="164">
        <v>0.4</v>
      </c>
      <c r="F94" s="164"/>
      <c r="G94" s="331">
        <f t="shared" si="4"/>
      </c>
      <c r="H94" s="91"/>
      <c r="I94" s="204" t="s">
        <v>47</v>
      </c>
      <c r="J94" s="73" t="s">
        <v>48</v>
      </c>
      <c r="K94" s="73" t="s">
        <v>261</v>
      </c>
      <c r="L94" s="303">
        <v>2.02E-05</v>
      </c>
      <c r="M94" s="309">
        <f t="shared" si="6"/>
        <v>2.02E-05</v>
      </c>
      <c r="N94" s="333" t="s">
        <v>261</v>
      </c>
      <c r="O94" s="308">
        <f t="shared" si="5"/>
      </c>
      <c r="P94" s="91"/>
      <c r="Q94" s="336" t="s">
        <v>463</v>
      </c>
      <c r="R94" s="534">
        <f t="shared" si="7"/>
      </c>
    </row>
    <row r="95" spans="1:18" ht="11.25">
      <c r="A95" s="429">
        <f>Criteria!A99</f>
        <v>89</v>
      </c>
      <c r="B95" s="72" t="str">
        <f>Criteria!B99</f>
        <v>Hexachlorobutadiene</v>
      </c>
      <c r="C95" s="164" t="s">
        <v>47</v>
      </c>
      <c r="D95" s="164" t="s">
        <v>47</v>
      </c>
      <c r="E95" s="164">
        <v>0.2</v>
      </c>
      <c r="F95" s="164"/>
      <c r="G95" s="331">
        <f t="shared" si="4"/>
      </c>
      <c r="H95" s="91"/>
      <c r="I95" s="204" t="s">
        <v>47</v>
      </c>
      <c r="J95" s="73" t="s">
        <v>47</v>
      </c>
      <c r="K95" s="73">
        <v>0.3</v>
      </c>
      <c r="L95" s="304" t="s">
        <v>261</v>
      </c>
      <c r="M95" s="309">
        <f t="shared" si="6"/>
        <v>0.3</v>
      </c>
      <c r="N95" s="333" t="s">
        <v>261</v>
      </c>
      <c r="O95" s="308">
        <f t="shared" si="5"/>
      </c>
      <c r="P95" s="91"/>
      <c r="Q95" s="336" t="s">
        <v>463</v>
      </c>
      <c r="R95" s="534">
        <f t="shared" si="7"/>
      </c>
    </row>
    <row r="96" spans="1:18" ht="11.25">
      <c r="A96" s="429">
        <f>Criteria!A100</f>
        <v>90</v>
      </c>
      <c r="B96" s="72" t="str">
        <f>Criteria!B100</f>
        <v>Hexachlorocyclopentadiene</v>
      </c>
      <c r="C96" s="164" t="s">
        <v>47</v>
      </c>
      <c r="D96" s="164" t="s">
        <v>47</v>
      </c>
      <c r="E96" s="164">
        <v>0.1</v>
      </c>
      <c r="F96" s="164"/>
      <c r="G96" s="331">
        <f t="shared" si="4"/>
      </c>
      <c r="H96" s="91"/>
      <c r="I96" s="204" t="s">
        <v>47</v>
      </c>
      <c r="J96" s="73" t="s">
        <v>47</v>
      </c>
      <c r="K96" s="73">
        <v>0.31</v>
      </c>
      <c r="L96" s="304" t="s">
        <v>261</v>
      </c>
      <c r="M96" s="309">
        <f t="shared" si="6"/>
        <v>0.31</v>
      </c>
      <c r="N96" s="333" t="s">
        <v>261</v>
      </c>
      <c r="O96" s="308">
        <f t="shared" si="5"/>
      </c>
      <c r="P96" s="91"/>
      <c r="Q96" s="336" t="s">
        <v>463</v>
      </c>
      <c r="R96" s="534">
        <f t="shared" si="7"/>
      </c>
    </row>
    <row r="97" spans="1:18" ht="11.25">
      <c r="A97" s="429">
        <f>Criteria!A101</f>
        <v>91</v>
      </c>
      <c r="B97" s="72" t="str">
        <f>Criteria!B101</f>
        <v>Hexachloroethane</v>
      </c>
      <c r="C97" s="164" t="s">
        <v>47</v>
      </c>
      <c r="D97" s="164" t="s">
        <v>47</v>
      </c>
      <c r="E97" s="164">
        <v>0.2</v>
      </c>
      <c r="F97" s="164"/>
      <c r="G97" s="331">
        <f t="shared" si="4"/>
      </c>
      <c r="H97" s="91"/>
      <c r="I97" s="204" t="s">
        <v>47</v>
      </c>
      <c r="J97" s="73" t="s">
        <v>47</v>
      </c>
      <c r="K97" s="73">
        <v>0.2</v>
      </c>
      <c r="L97" s="304" t="s">
        <v>261</v>
      </c>
      <c r="M97" s="309">
        <f t="shared" si="6"/>
        <v>0.2</v>
      </c>
      <c r="N97" s="333" t="s">
        <v>261</v>
      </c>
      <c r="O97" s="308">
        <f t="shared" si="5"/>
      </c>
      <c r="P97" s="91"/>
      <c r="Q97" s="336" t="s">
        <v>463</v>
      </c>
      <c r="R97" s="534">
        <f t="shared" si="7"/>
      </c>
    </row>
    <row r="98" spans="1:18" ht="11.25">
      <c r="A98" s="429">
        <f>Criteria!A102</f>
        <v>92</v>
      </c>
      <c r="B98" s="72" t="str">
        <f>Criteria!B102</f>
        <v>Indeno(1,2,3-cd) Pyrene</v>
      </c>
      <c r="C98" s="164" t="s">
        <v>47</v>
      </c>
      <c r="D98" s="164" t="s">
        <v>47</v>
      </c>
      <c r="E98" s="164">
        <v>0.029</v>
      </c>
      <c r="F98" s="164"/>
      <c r="G98" s="331">
        <f t="shared" si="4"/>
      </c>
      <c r="H98" s="91"/>
      <c r="I98" s="204" t="s">
        <v>47</v>
      </c>
      <c r="J98" s="73" t="s">
        <v>48</v>
      </c>
      <c r="K98" s="73" t="s">
        <v>261</v>
      </c>
      <c r="L98" s="303">
        <v>0.004</v>
      </c>
      <c r="M98" s="309">
        <f t="shared" si="6"/>
        <v>0.004</v>
      </c>
      <c r="N98" s="333" t="s">
        <v>261</v>
      </c>
      <c r="O98" s="308">
        <f t="shared" si="5"/>
      </c>
      <c r="P98" s="91"/>
      <c r="Q98" s="336" t="s">
        <v>463</v>
      </c>
      <c r="R98" s="534">
        <f t="shared" si="7"/>
      </c>
    </row>
    <row r="99" spans="1:18" ht="11.25">
      <c r="A99" s="429">
        <f>Criteria!A103</f>
        <v>93</v>
      </c>
      <c r="B99" s="72" t="str">
        <f>Criteria!B103</f>
        <v>Isophorone</v>
      </c>
      <c r="C99" s="164" t="s">
        <v>47</v>
      </c>
      <c r="D99" s="164" t="s">
        <v>47</v>
      </c>
      <c r="E99" s="164">
        <v>0.3</v>
      </c>
      <c r="F99" s="164"/>
      <c r="G99" s="331">
        <f t="shared" si="4"/>
      </c>
      <c r="H99" s="91"/>
      <c r="I99" s="204" t="s">
        <v>47</v>
      </c>
      <c r="J99" s="73" t="s">
        <v>47</v>
      </c>
      <c r="K99" s="73">
        <v>0.3</v>
      </c>
      <c r="L99" s="304" t="s">
        <v>261</v>
      </c>
      <c r="M99" s="309">
        <f t="shared" si="6"/>
        <v>0.3</v>
      </c>
      <c r="N99" s="333" t="s">
        <v>261</v>
      </c>
      <c r="O99" s="308">
        <f t="shared" si="5"/>
      </c>
      <c r="P99" s="91"/>
      <c r="Q99" s="336" t="s">
        <v>463</v>
      </c>
      <c r="R99" s="534">
        <f t="shared" si="7"/>
      </c>
    </row>
    <row r="100" spans="1:18" ht="11.25">
      <c r="A100" s="429">
        <f>Criteria!A104</f>
        <v>94</v>
      </c>
      <c r="B100" s="72" t="str">
        <f>Criteria!B104</f>
        <v>naphthalene</v>
      </c>
      <c r="C100" s="164" t="s">
        <v>47</v>
      </c>
      <c r="D100" s="164" t="s">
        <v>47</v>
      </c>
      <c r="E100" s="164">
        <v>0.019</v>
      </c>
      <c r="F100" s="164"/>
      <c r="G100" s="331">
        <f t="shared" si="4"/>
      </c>
      <c r="H100" s="91"/>
      <c r="I100" s="204" t="s">
        <v>47</v>
      </c>
      <c r="J100" s="73" t="s">
        <v>48</v>
      </c>
      <c r="K100" s="73" t="s">
        <v>261</v>
      </c>
      <c r="L100" s="303">
        <v>0.0023</v>
      </c>
      <c r="M100" s="309">
        <f t="shared" si="6"/>
        <v>0.0023</v>
      </c>
      <c r="N100" s="333" t="s">
        <v>261</v>
      </c>
      <c r="O100" s="308">
        <f t="shared" si="5"/>
      </c>
      <c r="P100" s="91"/>
      <c r="Q100" s="336" t="s">
        <v>463</v>
      </c>
      <c r="R100" s="534">
        <f t="shared" si="7"/>
      </c>
    </row>
    <row r="101" spans="1:18" ht="11.25">
      <c r="A101" s="429">
        <f>Criteria!A105</f>
        <v>95</v>
      </c>
      <c r="B101" s="72" t="str">
        <f>Criteria!B105</f>
        <v>Nitrobenzene</v>
      </c>
      <c r="C101" s="164" t="s">
        <v>47</v>
      </c>
      <c r="D101" s="164" t="s">
        <v>47</v>
      </c>
      <c r="E101" s="164">
        <v>0.3</v>
      </c>
      <c r="F101" s="164"/>
      <c r="G101" s="331">
        <f t="shared" si="4"/>
      </c>
      <c r="H101" s="91"/>
      <c r="I101" s="204" t="s">
        <v>47</v>
      </c>
      <c r="J101" s="73" t="s">
        <v>47</v>
      </c>
      <c r="K101" s="73">
        <v>0.25</v>
      </c>
      <c r="L101" s="304" t="s">
        <v>261</v>
      </c>
      <c r="M101" s="309">
        <f t="shared" si="6"/>
        <v>0.25</v>
      </c>
      <c r="N101" s="333" t="s">
        <v>261</v>
      </c>
      <c r="O101" s="308">
        <f t="shared" si="5"/>
      </c>
      <c r="P101" s="91"/>
      <c r="Q101" s="336" t="s">
        <v>463</v>
      </c>
      <c r="R101" s="534">
        <f t="shared" si="7"/>
      </c>
    </row>
    <row r="102" spans="1:18" ht="11.25">
      <c r="A102" s="429">
        <f>Criteria!A106</f>
        <v>96</v>
      </c>
      <c r="B102" s="72" t="str">
        <f>Criteria!B106</f>
        <v>N-Nitrosodimethylamine</v>
      </c>
      <c r="C102" s="164" t="s">
        <v>47</v>
      </c>
      <c r="D102" s="164" t="s">
        <v>47</v>
      </c>
      <c r="E102" s="164">
        <v>0.4</v>
      </c>
      <c r="F102" s="164"/>
      <c r="G102" s="331">
        <f t="shared" si="4"/>
      </c>
      <c r="H102" s="91"/>
      <c r="I102" s="204" t="s">
        <v>47</v>
      </c>
      <c r="J102" s="74" t="s">
        <v>47</v>
      </c>
      <c r="K102" s="74">
        <v>0.3</v>
      </c>
      <c r="L102" s="304" t="s">
        <v>261</v>
      </c>
      <c r="M102" s="309">
        <f t="shared" si="6"/>
        <v>0.3</v>
      </c>
      <c r="N102" s="333" t="s">
        <v>261</v>
      </c>
      <c r="O102" s="308">
        <f t="shared" si="5"/>
      </c>
      <c r="P102" s="91"/>
      <c r="Q102" s="336" t="s">
        <v>463</v>
      </c>
      <c r="R102" s="534">
        <f t="shared" si="7"/>
      </c>
    </row>
    <row r="103" spans="1:18" ht="11.25">
      <c r="A103" s="429">
        <f>Criteria!A107</f>
        <v>97</v>
      </c>
      <c r="B103" s="72" t="str">
        <f>Criteria!B107</f>
        <v>N-Nitrosodi-n-Propylamine</v>
      </c>
      <c r="C103" s="164" t="s">
        <v>47</v>
      </c>
      <c r="D103" s="164" t="s">
        <v>47</v>
      </c>
      <c r="E103" s="164">
        <v>0.3</v>
      </c>
      <c r="F103" s="164"/>
      <c r="G103" s="331">
        <f t="shared" si="4"/>
      </c>
      <c r="H103" s="91"/>
      <c r="I103" s="204" t="s">
        <v>47</v>
      </c>
      <c r="J103" s="73" t="s">
        <v>47</v>
      </c>
      <c r="K103" s="73">
        <v>0.001</v>
      </c>
      <c r="L103" s="304" t="s">
        <v>261</v>
      </c>
      <c r="M103" s="309">
        <f t="shared" si="6"/>
        <v>0.001</v>
      </c>
      <c r="N103" s="333" t="s">
        <v>261</v>
      </c>
      <c r="O103" s="308">
        <f t="shared" si="5"/>
      </c>
      <c r="P103" s="91"/>
      <c r="Q103" s="336" t="s">
        <v>463</v>
      </c>
      <c r="R103" s="534">
        <f t="shared" si="7"/>
      </c>
    </row>
    <row r="104" spans="1:18" ht="11.25">
      <c r="A104" s="429">
        <f>Criteria!A108</f>
        <v>98</v>
      </c>
      <c r="B104" s="72" t="str">
        <f>Criteria!B108</f>
        <v>N-Nitrosodiphenylamine</v>
      </c>
      <c r="C104" s="164" t="s">
        <v>47</v>
      </c>
      <c r="D104" s="164" t="s">
        <v>47</v>
      </c>
      <c r="E104" s="164">
        <v>0.4</v>
      </c>
      <c r="F104" s="164"/>
      <c r="G104" s="331">
        <f t="shared" si="4"/>
      </c>
      <c r="H104" s="91"/>
      <c r="I104" s="204" t="s">
        <v>47</v>
      </c>
      <c r="J104" s="73" t="s">
        <v>47</v>
      </c>
      <c r="K104" s="73">
        <v>0.001</v>
      </c>
      <c r="L104" s="304" t="s">
        <v>261</v>
      </c>
      <c r="M104" s="309">
        <f t="shared" si="6"/>
        <v>0.001</v>
      </c>
      <c r="N104" s="333" t="s">
        <v>261</v>
      </c>
      <c r="O104" s="308">
        <f t="shared" si="5"/>
      </c>
      <c r="P104" s="91"/>
      <c r="Q104" s="336" t="s">
        <v>463</v>
      </c>
      <c r="R104" s="534">
        <f t="shared" si="7"/>
      </c>
    </row>
    <row r="105" spans="1:18" ht="11.25">
      <c r="A105" s="429">
        <f>Criteria!A109</f>
        <v>99</v>
      </c>
      <c r="B105" s="72" t="str">
        <f>Criteria!B109</f>
        <v>Phenanthrene</v>
      </c>
      <c r="C105" s="164" t="s">
        <v>47</v>
      </c>
      <c r="D105" s="164" t="s">
        <v>47</v>
      </c>
      <c r="E105" s="164">
        <v>0.029</v>
      </c>
      <c r="F105" s="164"/>
      <c r="G105" s="331">
        <f t="shared" si="4"/>
      </c>
      <c r="H105" s="91"/>
      <c r="I105" s="204" t="s">
        <v>47</v>
      </c>
      <c r="J105" s="73" t="s">
        <v>48</v>
      </c>
      <c r="K105" s="73" t="s">
        <v>261</v>
      </c>
      <c r="L105" s="303">
        <v>0.0060999999999999995</v>
      </c>
      <c r="M105" s="309">
        <f t="shared" si="6"/>
        <v>0.0060999999999999995</v>
      </c>
      <c r="N105" s="333" t="s">
        <v>261</v>
      </c>
      <c r="O105" s="308">
        <f t="shared" si="5"/>
      </c>
      <c r="P105" s="91"/>
      <c r="Q105" s="336" t="s">
        <v>463</v>
      </c>
      <c r="R105" s="534">
        <f t="shared" si="7"/>
      </c>
    </row>
    <row r="106" spans="1:18" ht="11.25">
      <c r="A106" s="429">
        <f>Criteria!A110</f>
        <v>100</v>
      </c>
      <c r="B106" s="72" t="str">
        <f>Criteria!B110</f>
        <v>Pyrene</v>
      </c>
      <c r="C106" s="164" t="s">
        <v>47</v>
      </c>
      <c r="D106" s="164" t="s">
        <v>47</v>
      </c>
      <c r="E106" s="164">
        <v>0.029</v>
      </c>
      <c r="F106" s="164"/>
      <c r="G106" s="331">
        <f t="shared" si="4"/>
      </c>
      <c r="H106" s="91"/>
      <c r="I106" s="204" t="s">
        <v>47</v>
      </c>
      <c r="J106" s="73" t="s">
        <v>48</v>
      </c>
      <c r="K106" s="73" t="s">
        <v>261</v>
      </c>
      <c r="L106" s="303">
        <v>0.0050999999999999995</v>
      </c>
      <c r="M106" s="309">
        <f t="shared" si="6"/>
        <v>0.0050999999999999995</v>
      </c>
      <c r="N106" s="333" t="s">
        <v>261</v>
      </c>
      <c r="O106" s="308">
        <f t="shared" si="5"/>
      </c>
      <c r="P106" s="91"/>
      <c r="Q106" s="336" t="s">
        <v>463</v>
      </c>
      <c r="R106" s="534">
        <f t="shared" si="7"/>
      </c>
    </row>
    <row r="107" spans="1:18" ht="11.25">
      <c r="A107" s="429">
        <f>Criteria!A111</f>
        <v>101</v>
      </c>
      <c r="B107" s="72" t="str">
        <f>Criteria!B111</f>
        <v>1,2,4-Trichlorobenzene</v>
      </c>
      <c r="C107" s="164" t="s">
        <v>47</v>
      </c>
      <c r="D107" s="164" t="s">
        <v>47</v>
      </c>
      <c r="E107" s="164">
        <v>0.3</v>
      </c>
      <c r="F107" s="164"/>
      <c r="G107" s="331">
        <f t="shared" si="4"/>
      </c>
      <c r="H107" s="91"/>
      <c r="I107" s="204" t="s">
        <v>47</v>
      </c>
      <c r="J107" s="74" t="s">
        <v>47</v>
      </c>
      <c r="K107" s="74">
        <v>0.3</v>
      </c>
      <c r="L107" s="304" t="s">
        <v>261</v>
      </c>
      <c r="M107" s="309">
        <f t="shared" si="6"/>
        <v>0.3</v>
      </c>
      <c r="N107" s="333" t="s">
        <v>261</v>
      </c>
      <c r="O107" s="308">
        <f t="shared" si="5"/>
      </c>
      <c r="P107" s="91"/>
      <c r="Q107" s="336" t="s">
        <v>463</v>
      </c>
      <c r="R107" s="534">
        <f t="shared" si="7"/>
      </c>
    </row>
    <row r="108" spans="1:18" ht="11.25">
      <c r="A108" s="429">
        <f>Criteria!A112</f>
        <v>102</v>
      </c>
      <c r="B108" s="72" t="str">
        <f>Criteria!B112</f>
        <v>Aldrin</v>
      </c>
      <c r="C108" s="164" t="s">
        <v>47</v>
      </c>
      <c r="D108" s="164" t="s">
        <v>47</v>
      </c>
      <c r="E108" s="164">
        <v>0.002</v>
      </c>
      <c r="F108" s="164"/>
      <c r="G108" s="331">
        <f t="shared" si="4"/>
      </c>
      <c r="H108" s="91"/>
      <c r="I108" s="204" t="s">
        <v>47</v>
      </c>
      <c r="J108" s="73" t="s">
        <v>47</v>
      </c>
      <c r="K108" s="73" t="s">
        <v>262</v>
      </c>
      <c r="L108" s="304" t="s">
        <v>261</v>
      </c>
      <c r="M108" s="309" t="str">
        <f t="shared" si="6"/>
        <v>?</v>
      </c>
      <c r="N108" s="333" t="s">
        <v>261</v>
      </c>
      <c r="O108" s="308">
        <f t="shared" si="5"/>
      </c>
      <c r="P108" s="91"/>
      <c r="Q108" s="336" t="s">
        <v>463</v>
      </c>
      <c r="R108" s="534">
        <f t="shared" si="7"/>
      </c>
    </row>
    <row r="109" spans="1:18" ht="11.25">
      <c r="A109" s="429">
        <f>Criteria!A113</f>
        <v>103</v>
      </c>
      <c r="B109" s="72" t="str">
        <f>Criteria!B113</f>
        <v>alpha-BHC</v>
      </c>
      <c r="C109" s="164" t="s">
        <v>47</v>
      </c>
      <c r="D109" s="164" t="s">
        <v>47</v>
      </c>
      <c r="E109" s="164">
        <v>0.002</v>
      </c>
      <c r="F109" s="164"/>
      <c r="G109" s="331">
        <f t="shared" si="4"/>
      </c>
      <c r="H109" s="91"/>
      <c r="I109" s="204" t="s">
        <v>47</v>
      </c>
      <c r="J109" s="73" t="s">
        <v>48</v>
      </c>
      <c r="K109" s="73" t="s">
        <v>261</v>
      </c>
      <c r="L109" s="161">
        <v>0.000496</v>
      </c>
      <c r="M109" s="312">
        <f t="shared" si="6"/>
        <v>0.000496</v>
      </c>
      <c r="N109" s="336" t="s">
        <v>261</v>
      </c>
      <c r="O109" s="308">
        <f t="shared" si="5"/>
      </c>
      <c r="P109" s="91"/>
      <c r="Q109" s="336" t="s">
        <v>463</v>
      </c>
      <c r="R109" s="534">
        <f t="shared" si="7"/>
      </c>
    </row>
    <row r="110" spans="1:18" ht="11.25">
      <c r="A110" s="429">
        <f>Criteria!A114</f>
        <v>104</v>
      </c>
      <c r="B110" s="72" t="str">
        <f>Criteria!B114</f>
        <v>beta-BHC</v>
      </c>
      <c r="C110" s="164" t="s">
        <v>47</v>
      </c>
      <c r="D110" s="164" t="s">
        <v>47</v>
      </c>
      <c r="E110" s="164">
        <v>0.001</v>
      </c>
      <c r="F110" s="164"/>
      <c r="G110" s="331">
        <f t="shared" si="4"/>
      </c>
      <c r="H110" s="91"/>
      <c r="I110" s="204" t="s">
        <v>47</v>
      </c>
      <c r="J110" s="73" t="s">
        <v>48</v>
      </c>
      <c r="K110" s="73" t="s">
        <v>261</v>
      </c>
      <c r="L110" s="306">
        <v>0.000413</v>
      </c>
      <c r="M110" s="312">
        <f t="shared" si="6"/>
        <v>0.000413</v>
      </c>
      <c r="N110" s="336" t="s">
        <v>261</v>
      </c>
      <c r="O110" s="308">
        <f t="shared" si="5"/>
      </c>
      <c r="P110" s="91"/>
      <c r="Q110" s="336" t="s">
        <v>463</v>
      </c>
      <c r="R110" s="534">
        <f t="shared" si="7"/>
      </c>
    </row>
    <row r="111" spans="1:18" ht="11.25">
      <c r="A111" s="429">
        <f>Criteria!A115</f>
        <v>105</v>
      </c>
      <c r="B111" s="72" t="str">
        <f>Criteria!B115</f>
        <v>gamma-BHC</v>
      </c>
      <c r="C111" s="164" t="s">
        <v>47</v>
      </c>
      <c r="D111" s="164" t="s">
        <v>47</v>
      </c>
      <c r="E111" s="164">
        <v>0.001</v>
      </c>
      <c r="F111" s="164"/>
      <c r="G111" s="331">
        <f t="shared" si="4"/>
      </c>
      <c r="H111" s="91"/>
      <c r="I111" s="204" t="s">
        <v>47</v>
      </c>
      <c r="J111" s="73" t="s">
        <v>48</v>
      </c>
      <c r="K111" s="73" t="s">
        <v>261</v>
      </c>
      <c r="L111" s="304">
        <v>0.0007034</v>
      </c>
      <c r="M111" s="309">
        <f t="shared" si="6"/>
        <v>0.0007034</v>
      </c>
      <c r="N111" s="333" t="s">
        <v>261</v>
      </c>
      <c r="O111" s="308">
        <f t="shared" si="5"/>
      </c>
      <c r="P111" s="91"/>
      <c r="Q111" s="336" t="s">
        <v>463</v>
      </c>
      <c r="R111" s="534">
        <f t="shared" si="7"/>
      </c>
    </row>
    <row r="112" spans="1:18" ht="11.25">
      <c r="A112" s="429">
        <f>Criteria!A116</f>
        <v>106</v>
      </c>
      <c r="B112" s="72" t="str">
        <f>Criteria!B116</f>
        <v>delta-BHC</v>
      </c>
      <c r="C112" s="164" t="s">
        <v>47</v>
      </c>
      <c r="D112" s="164" t="s">
        <v>47</v>
      </c>
      <c r="E112" s="164">
        <v>0.001</v>
      </c>
      <c r="F112" s="164"/>
      <c r="G112" s="331">
        <f t="shared" si="4"/>
      </c>
      <c r="H112" s="91"/>
      <c r="I112" s="204" t="s">
        <v>47</v>
      </c>
      <c r="J112" s="73" t="s">
        <v>48</v>
      </c>
      <c r="K112" s="73" t="s">
        <v>261</v>
      </c>
      <c r="L112" s="304">
        <v>4.2E-05</v>
      </c>
      <c r="M112" s="309">
        <f t="shared" si="6"/>
        <v>4.2E-05</v>
      </c>
      <c r="N112" s="333" t="s">
        <v>261</v>
      </c>
      <c r="O112" s="308">
        <f t="shared" si="5"/>
      </c>
      <c r="P112" s="91"/>
      <c r="Q112" s="336" t="s">
        <v>463</v>
      </c>
      <c r="R112" s="534">
        <f t="shared" si="7"/>
      </c>
    </row>
    <row r="113" spans="1:18" ht="11.25">
      <c r="A113" s="431">
        <f>Criteria!A117</f>
        <v>107</v>
      </c>
      <c r="B113" s="80" t="str">
        <f>Criteria!B117</f>
        <v>Chlordane</v>
      </c>
      <c r="C113" s="164" t="s">
        <v>47</v>
      </c>
      <c r="D113" s="164" t="s">
        <v>47</v>
      </c>
      <c r="E113" s="164">
        <v>0.005</v>
      </c>
      <c r="F113" s="164"/>
      <c r="G113" s="331">
        <f t="shared" si="4"/>
      </c>
      <c r="H113" s="91"/>
      <c r="I113" s="204" t="s">
        <v>47</v>
      </c>
      <c r="J113" s="73" t="s">
        <v>48</v>
      </c>
      <c r="K113" s="73" t="s">
        <v>261</v>
      </c>
      <c r="L113" s="303">
        <v>0.00018</v>
      </c>
      <c r="M113" s="309">
        <f t="shared" si="6"/>
        <v>0.00018</v>
      </c>
      <c r="N113" s="333" t="s">
        <v>261</v>
      </c>
      <c r="O113" s="308">
        <f t="shared" si="5"/>
      </c>
      <c r="P113" s="91"/>
      <c r="Q113" s="336" t="s">
        <v>463</v>
      </c>
      <c r="R113" s="534">
        <f t="shared" si="7"/>
      </c>
    </row>
    <row r="114" spans="1:18" ht="11.25">
      <c r="A114" s="431">
        <f>Criteria!A118</f>
        <v>108</v>
      </c>
      <c r="B114" s="80" t="str">
        <f>Criteria!B118</f>
        <v>4,4-DDT</v>
      </c>
      <c r="C114" s="164" t="s">
        <v>47</v>
      </c>
      <c r="D114" s="164" t="s">
        <v>47</v>
      </c>
      <c r="E114" s="164">
        <v>0.001</v>
      </c>
      <c r="F114" s="164"/>
      <c r="G114" s="331">
        <f t="shared" si="4"/>
      </c>
      <c r="H114" s="91"/>
      <c r="I114" s="204" t="s">
        <v>47</v>
      </c>
      <c r="J114" s="73" t="s">
        <v>48</v>
      </c>
      <c r="K114" s="73" t="s">
        <v>261</v>
      </c>
      <c r="L114" s="303">
        <v>6.6E-05</v>
      </c>
      <c r="M114" s="309">
        <f t="shared" si="6"/>
        <v>6.6E-05</v>
      </c>
      <c r="N114" s="333" t="s">
        <v>261</v>
      </c>
      <c r="O114" s="308">
        <f t="shared" si="5"/>
      </c>
      <c r="P114" s="91"/>
      <c r="Q114" s="336" t="s">
        <v>463</v>
      </c>
      <c r="R114" s="534">
        <f t="shared" si="7"/>
      </c>
    </row>
    <row r="115" spans="1:18" ht="11.25">
      <c r="A115" s="429">
        <f>Criteria!A119</f>
        <v>109</v>
      </c>
      <c r="B115" s="76" t="str">
        <f>Criteria!B119</f>
        <v>4,4-DDE</v>
      </c>
      <c r="C115" s="164" t="s">
        <v>47</v>
      </c>
      <c r="D115" s="164" t="s">
        <v>47</v>
      </c>
      <c r="E115" s="164">
        <v>0.001</v>
      </c>
      <c r="F115" s="164"/>
      <c r="G115" s="331">
        <f t="shared" si="4"/>
      </c>
      <c r="H115" s="91"/>
      <c r="I115" s="204" t="s">
        <v>48</v>
      </c>
      <c r="J115" s="73"/>
      <c r="K115" s="73"/>
      <c r="L115" s="303"/>
      <c r="M115" s="309">
        <f t="shared" si="6"/>
      </c>
      <c r="N115" s="333" t="s">
        <v>261</v>
      </c>
      <c r="O115" s="308">
        <f t="shared" si="5"/>
      </c>
      <c r="P115" s="91"/>
      <c r="Q115" s="336" t="s">
        <v>463</v>
      </c>
      <c r="R115" s="534">
        <f t="shared" si="7"/>
      </c>
    </row>
    <row r="116" spans="1:18" ht="11.25">
      <c r="A116" s="429">
        <f>Criteria!A120</f>
        <v>110</v>
      </c>
      <c r="B116" s="72" t="str">
        <f>Criteria!B120</f>
        <v>4,4-DDD</v>
      </c>
      <c r="C116" s="164" t="s">
        <v>47</v>
      </c>
      <c r="D116" s="164" t="s">
        <v>47</v>
      </c>
      <c r="E116" s="164">
        <v>0.001</v>
      </c>
      <c r="F116" s="164"/>
      <c r="G116" s="331">
        <f t="shared" si="4"/>
      </c>
      <c r="H116" s="91"/>
      <c r="I116" s="204" t="s">
        <v>47</v>
      </c>
      <c r="J116" s="73" t="s">
        <v>48</v>
      </c>
      <c r="K116" s="73" t="s">
        <v>261</v>
      </c>
      <c r="L116" s="303">
        <v>0.000313</v>
      </c>
      <c r="M116" s="309">
        <f t="shared" si="6"/>
        <v>0.000313</v>
      </c>
      <c r="N116" s="333" t="s">
        <v>261</v>
      </c>
      <c r="O116" s="308">
        <f t="shared" si="5"/>
      </c>
      <c r="P116" s="91"/>
      <c r="Q116" s="336" t="s">
        <v>463</v>
      </c>
      <c r="R116" s="534">
        <f t="shared" si="7"/>
      </c>
    </row>
    <row r="117" spans="1:18" ht="11.25">
      <c r="A117" s="429">
        <f>Criteria!A121</f>
        <v>111</v>
      </c>
      <c r="B117" s="78" t="str">
        <f>Criteria!B121</f>
        <v>Dieldrin</v>
      </c>
      <c r="C117" s="164" t="s">
        <v>47</v>
      </c>
      <c r="D117" s="164" t="s">
        <v>47</v>
      </c>
      <c r="E117" s="164">
        <v>0.002</v>
      </c>
      <c r="F117" s="164"/>
      <c r="G117" s="331">
        <f t="shared" si="4"/>
      </c>
      <c r="H117" s="91"/>
      <c r="I117" s="204" t="s">
        <v>48</v>
      </c>
      <c r="J117" s="73"/>
      <c r="K117" s="73"/>
      <c r="L117" s="303"/>
      <c r="M117" s="309">
        <f t="shared" si="6"/>
      </c>
      <c r="N117" s="333" t="s">
        <v>261</v>
      </c>
      <c r="O117" s="308">
        <f t="shared" si="5"/>
      </c>
      <c r="P117" s="91"/>
      <c r="Q117" s="336" t="s">
        <v>463</v>
      </c>
      <c r="R117" s="534">
        <f t="shared" si="7"/>
      </c>
    </row>
    <row r="118" spans="1:18" ht="11.25">
      <c r="A118" s="429">
        <f>Criteria!A122</f>
        <v>112</v>
      </c>
      <c r="B118" s="72" t="str">
        <f>Criteria!B122</f>
        <v>alpha-Endosulfan</v>
      </c>
      <c r="C118" s="164" t="s">
        <v>47</v>
      </c>
      <c r="D118" s="164" t="s">
        <v>47</v>
      </c>
      <c r="E118" s="164">
        <v>0.002</v>
      </c>
      <c r="F118" s="164"/>
      <c r="G118" s="331">
        <f t="shared" si="4"/>
      </c>
      <c r="H118" s="91"/>
      <c r="I118" s="204" t="s">
        <v>47</v>
      </c>
      <c r="J118" s="73" t="s">
        <v>48</v>
      </c>
      <c r="K118" s="73" t="s">
        <v>261</v>
      </c>
      <c r="L118" s="303">
        <v>3.1E-05</v>
      </c>
      <c r="M118" s="309">
        <f t="shared" si="6"/>
        <v>3.1E-05</v>
      </c>
      <c r="N118" s="333" t="s">
        <v>261</v>
      </c>
      <c r="O118" s="308">
        <f t="shared" si="5"/>
      </c>
      <c r="P118" s="91"/>
      <c r="Q118" s="336" t="s">
        <v>463</v>
      </c>
      <c r="R118" s="534">
        <f t="shared" si="7"/>
      </c>
    </row>
    <row r="119" spans="1:18" ht="11.25">
      <c r="A119" s="429">
        <f>Criteria!A123</f>
        <v>113</v>
      </c>
      <c r="B119" s="72" t="str">
        <f>Criteria!B123</f>
        <v>beta-Endosulfan</v>
      </c>
      <c r="C119" s="164" t="s">
        <v>47</v>
      </c>
      <c r="D119" s="164" t="s">
        <v>47</v>
      </c>
      <c r="E119" s="164">
        <v>0.001</v>
      </c>
      <c r="F119" s="164"/>
      <c r="G119" s="331">
        <f t="shared" si="4"/>
      </c>
      <c r="H119" s="91"/>
      <c r="I119" s="204" t="s">
        <v>47</v>
      </c>
      <c r="J119" s="73" t="s">
        <v>48</v>
      </c>
      <c r="K119" s="73" t="s">
        <v>261</v>
      </c>
      <c r="L119" s="303">
        <v>6.9E-05</v>
      </c>
      <c r="M119" s="309">
        <f t="shared" si="6"/>
        <v>6.9E-05</v>
      </c>
      <c r="N119" s="333" t="s">
        <v>261</v>
      </c>
      <c r="O119" s="308">
        <f t="shared" si="5"/>
      </c>
      <c r="P119" s="91"/>
      <c r="Q119" s="336" t="s">
        <v>463</v>
      </c>
      <c r="R119" s="534">
        <f t="shared" si="7"/>
      </c>
    </row>
    <row r="120" spans="1:18" ht="11.25">
      <c r="A120" s="429">
        <f>Criteria!A124</f>
        <v>114</v>
      </c>
      <c r="B120" s="72" t="str">
        <f>Criteria!B124</f>
        <v>Endosulfan Sulfate</v>
      </c>
      <c r="C120" s="164" t="s">
        <v>47</v>
      </c>
      <c r="D120" s="164" t="s">
        <v>47</v>
      </c>
      <c r="E120" s="164">
        <v>0.001</v>
      </c>
      <c r="F120" s="164"/>
      <c r="G120" s="331">
        <f t="shared" si="4"/>
      </c>
      <c r="H120" s="91"/>
      <c r="I120" s="204" t="s">
        <v>47</v>
      </c>
      <c r="J120" s="73" t="s">
        <v>48</v>
      </c>
      <c r="K120" s="73" t="s">
        <v>261</v>
      </c>
      <c r="L120" s="303">
        <v>8.190000000000001E-05</v>
      </c>
      <c r="M120" s="309">
        <f t="shared" si="6"/>
        <v>8.190000000000001E-05</v>
      </c>
      <c r="N120" s="333" t="s">
        <v>261</v>
      </c>
      <c r="O120" s="308">
        <f t="shared" si="5"/>
      </c>
      <c r="P120" s="91"/>
      <c r="Q120" s="336" t="s">
        <v>463</v>
      </c>
      <c r="R120" s="534">
        <f t="shared" si="7"/>
      </c>
    </row>
    <row r="121" spans="1:18" ht="11.25">
      <c r="A121" s="429">
        <f>Criteria!A125</f>
        <v>115</v>
      </c>
      <c r="B121" s="72" t="str">
        <f>Criteria!B125</f>
        <v>Endrin</v>
      </c>
      <c r="C121" s="164" t="s">
        <v>47</v>
      </c>
      <c r="D121" s="164" t="s">
        <v>47</v>
      </c>
      <c r="E121" s="164">
        <v>0.002</v>
      </c>
      <c r="F121" s="164"/>
      <c r="G121" s="331">
        <f t="shared" si="4"/>
      </c>
      <c r="H121" s="91"/>
      <c r="I121" s="204" t="s">
        <v>47</v>
      </c>
      <c r="J121" s="73" t="s">
        <v>48</v>
      </c>
      <c r="K121" s="73" t="s">
        <v>261</v>
      </c>
      <c r="L121" s="303">
        <v>3.6E-05</v>
      </c>
      <c r="M121" s="309">
        <f t="shared" si="6"/>
        <v>3.6E-05</v>
      </c>
      <c r="N121" s="333" t="s">
        <v>261</v>
      </c>
      <c r="O121" s="308">
        <f t="shared" si="5"/>
      </c>
      <c r="P121" s="91"/>
      <c r="Q121" s="336" t="s">
        <v>463</v>
      </c>
      <c r="R121" s="534">
        <f t="shared" si="7"/>
      </c>
    </row>
    <row r="122" spans="1:18" ht="11.25">
      <c r="A122" s="429">
        <f>Criteria!A126</f>
        <v>116</v>
      </c>
      <c r="B122" s="72" t="str">
        <f>Criteria!B126</f>
        <v>Endrin Aldehyde</v>
      </c>
      <c r="C122" s="164" t="s">
        <v>47</v>
      </c>
      <c r="D122" s="164" t="s">
        <v>47</v>
      </c>
      <c r="E122" s="164">
        <v>0.002</v>
      </c>
      <c r="F122" s="164"/>
      <c r="G122" s="331">
        <f t="shared" si="4"/>
      </c>
      <c r="H122" s="91"/>
      <c r="I122" s="205" t="s">
        <v>47</v>
      </c>
      <c r="J122" s="206" t="s">
        <v>47</v>
      </c>
      <c r="K122" s="73">
        <v>0.002</v>
      </c>
      <c r="L122" s="304"/>
      <c r="M122" s="309">
        <f t="shared" si="6"/>
        <v>0.002</v>
      </c>
      <c r="N122" s="333" t="s">
        <v>261</v>
      </c>
      <c r="O122" s="308">
        <f t="shared" si="5"/>
      </c>
      <c r="P122" s="91"/>
      <c r="Q122" s="336" t="s">
        <v>463</v>
      </c>
      <c r="R122" s="534">
        <f t="shared" si="7"/>
      </c>
    </row>
    <row r="123" spans="1:18" ht="11.25">
      <c r="A123" s="429">
        <f>Criteria!A127</f>
        <v>117</v>
      </c>
      <c r="B123" s="72" t="str">
        <f>Criteria!B127</f>
        <v>Heptachlor</v>
      </c>
      <c r="C123" s="164" t="s">
        <v>47</v>
      </c>
      <c r="D123" s="164" t="s">
        <v>47</v>
      </c>
      <c r="E123" s="164">
        <v>0.0029</v>
      </c>
      <c r="F123" s="164"/>
      <c r="G123" s="331">
        <f t="shared" si="4"/>
      </c>
      <c r="H123" s="91"/>
      <c r="I123" s="204" t="s">
        <v>47</v>
      </c>
      <c r="J123" s="73" t="s">
        <v>48</v>
      </c>
      <c r="K123" s="73" t="s">
        <v>261</v>
      </c>
      <c r="L123" s="303">
        <v>1.9E-05</v>
      </c>
      <c r="M123" s="309">
        <f t="shared" si="6"/>
        <v>1.9E-05</v>
      </c>
      <c r="N123" s="333" t="s">
        <v>261</v>
      </c>
      <c r="O123" s="308">
        <f t="shared" si="5"/>
      </c>
      <c r="P123" s="91"/>
      <c r="Q123" s="336" t="s">
        <v>463</v>
      </c>
      <c r="R123" s="534">
        <f t="shared" si="7"/>
      </c>
    </row>
    <row r="124" spans="1:18" ht="11.25">
      <c r="A124" s="429">
        <f>Criteria!A128</f>
        <v>118</v>
      </c>
      <c r="B124" s="72" t="str">
        <f>Criteria!B128</f>
        <v>Heptchlor Epoxide</v>
      </c>
      <c r="C124" s="164" t="s">
        <v>47</v>
      </c>
      <c r="D124" s="164" t="s">
        <v>47</v>
      </c>
      <c r="E124" s="164">
        <v>0.002</v>
      </c>
      <c r="F124" s="164"/>
      <c r="G124" s="331">
        <f t="shared" si="4"/>
      </c>
      <c r="H124" s="91"/>
      <c r="I124" s="204" t="s">
        <v>47</v>
      </c>
      <c r="J124" s="73" t="s">
        <v>48</v>
      </c>
      <c r="K124" s="73" t="s">
        <v>261</v>
      </c>
      <c r="L124" s="303">
        <v>9.4E-05</v>
      </c>
      <c r="M124" s="309">
        <f t="shared" si="6"/>
        <v>9.4E-05</v>
      </c>
      <c r="N124" s="333" t="s">
        <v>261</v>
      </c>
      <c r="O124" s="308">
        <f t="shared" si="5"/>
      </c>
      <c r="P124" s="91"/>
      <c r="Q124" s="336" t="s">
        <v>463</v>
      </c>
      <c r="R124" s="534">
        <f t="shared" si="7"/>
      </c>
    </row>
    <row r="125" spans="1:18" ht="11.25">
      <c r="A125" s="428">
        <f>Criteria!A129</f>
        <v>119</v>
      </c>
      <c r="B125" s="111" t="str">
        <f>Criteria!B129</f>
        <v>PCB-1016</v>
      </c>
      <c r="C125" s="164" t="s">
        <v>47</v>
      </c>
      <c r="D125" s="164" t="s">
        <v>47</v>
      </c>
      <c r="E125" s="164">
        <v>0.029</v>
      </c>
      <c r="F125" s="164"/>
      <c r="G125" s="331">
        <f t="shared" si="4"/>
      </c>
      <c r="H125" s="91"/>
      <c r="I125" s="205" t="s">
        <v>48</v>
      </c>
      <c r="J125" s="206"/>
      <c r="K125" s="73" t="s">
        <v>261</v>
      </c>
      <c r="L125" s="304"/>
      <c r="M125" s="309">
        <f t="shared" si="6"/>
      </c>
      <c r="N125" s="333" t="s">
        <v>261</v>
      </c>
      <c r="O125" s="308">
        <f t="shared" si="5"/>
      </c>
      <c r="P125" s="91"/>
      <c r="Q125" s="336" t="s">
        <v>463</v>
      </c>
      <c r="R125" s="534">
        <f t="shared" si="7"/>
      </c>
    </row>
    <row r="126" spans="1:18" ht="11.25">
      <c r="A126" s="428">
        <f>Criteria!A130</f>
        <v>125.5</v>
      </c>
      <c r="B126" s="111" t="str">
        <f>Criteria!B130</f>
        <v>PCBs sum</v>
      </c>
      <c r="C126" s="164" t="s">
        <v>47</v>
      </c>
      <c r="D126" s="164" t="s">
        <v>47</v>
      </c>
      <c r="E126" s="164">
        <v>0.059</v>
      </c>
      <c r="F126" s="164"/>
      <c r="G126" s="331">
        <f>IF(C126="","Check input1",IF(C126="Y",IF(D126="","Check input2",IF(D126="Y",IF(E126="","Check input3",IF(F126="","","Check input4")),IF(E126="",IF(F126="","Check input5",""),"Check input6"))),IF(D126="",IF(E126="",IF(F126="","","Check input7"),"Check input8"),"Check input9")))</f>
      </c>
      <c r="H126" s="91"/>
      <c r="I126" s="205" t="s">
        <v>48</v>
      </c>
      <c r="J126" s="206"/>
      <c r="K126" s="73" t="s">
        <v>261</v>
      </c>
      <c r="L126" s="304"/>
      <c r="M126" s="309">
        <f>IF(I126="N","",IF(J126="N",L126,K126))</f>
      </c>
      <c r="N126" s="333" t="s">
        <v>261</v>
      </c>
      <c r="O126" s="308">
        <f>IF(I126="","Check input1",IF(I126="Y",IF(J126="","Check input2",IF(J126="Y",IF(K126="","Check input3",IF(L126="","","Check input4")),IF(K126="",IF(L126="","Check input5",""),"Check input6"))),IF(J126="",IF(K126="",IF(L126="","","Check input7"),"Check input8"),"Check input9")))</f>
      </c>
      <c r="P126" s="91"/>
      <c r="Q126" s="336" t="s">
        <v>463</v>
      </c>
      <c r="R126" s="534">
        <f t="shared" si="7"/>
      </c>
    </row>
    <row r="127" spans="1:18" ht="11.25">
      <c r="A127" s="429">
        <f>Criteria!A131</f>
        <v>126</v>
      </c>
      <c r="B127" s="72" t="str">
        <f>Criteria!B131</f>
        <v>Toxaphene</v>
      </c>
      <c r="C127" s="164" t="s">
        <v>47</v>
      </c>
      <c r="D127" s="164" t="s">
        <v>47</v>
      </c>
      <c r="E127" s="164">
        <v>0.15</v>
      </c>
      <c r="F127" s="164"/>
      <c r="G127" s="331">
        <f t="shared" si="4"/>
      </c>
      <c r="H127" s="91"/>
      <c r="I127" s="204" t="s">
        <v>47</v>
      </c>
      <c r="J127" s="81" t="s">
        <v>47</v>
      </c>
      <c r="K127" s="81" t="s">
        <v>262</v>
      </c>
      <c r="L127" s="304" t="s">
        <v>261</v>
      </c>
      <c r="M127" s="309" t="str">
        <f t="shared" si="6"/>
        <v>?</v>
      </c>
      <c r="N127" s="333" t="s">
        <v>261</v>
      </c>
      <c r="O127" s="308">
        <f t="shared" si="5"/>
      </c>
      <c r="P127" s="91"/>
      <c r="Q127" s="336" t="s">
        <v>463</v>
      </c>
      <c r="R127" s="534">
        <f t="shared" si="7"/>
      </c>
    </row>
    <row r="128" spans="1:18" ht="11.25">
      <c r="A128" s="432">
        <f>Criteria!A132</f>
        <v>1001</v>
      </c>
      <c r="B128" s="76" t="str">
        <f>Criteria!B132</f>
        <v>Tributyltin</v>
      </c>
      <c r="C128" s="164" t="s">
        <v>48</v>
      </c>
      <c r="D128" s="164"/>
      <c r="E128" s="164"/>
      <c r="F128" s="164"/>
      <c r="G128" s="331">
        <f>IF(C128="","Check input1",IF(C128="Y",IF(D128="","Check input2",IF(D128="Y",IF(E128="","Check input3",IF(F128="","","Check input4")),IF(E128="",IF(F128="","Check input5",""),"Check input6"))),IF(D128="",IF(E128="",IF(F128="","","Check input7"),"Check input8"),"Check input9")))</f>
      </c>
      <c r="H128" s="91"/>
      <c r="I128" s="71" t="s">
        <v>48</v>
      </c>
      <c r="J128" s="73"/>
      <c r="K128" s="159"/>
      <c r="L128" s="307"/>
      <c r="M128" s="309">
        <f t="shared" si="6"/>
      </c>
      <c r="N128" s="333" t="s">
        <v>261</v>
      </c>
      <c r="O128" s="308">
        <f>IF(I128="","Check input1",IF(I128="Y",IF(J128="","Check input2",IF(J128="Y",IF(K128="","Check input3",IF(L128="","","Check input4")),IF(K128="",IF(L128="","Check input5",""),"Check input6"))),IF(J128="",IF(K128="",IF(L128="","","Check input7"),"Check input8"),"Check input9")))</f>
      </c>
      <c r="P128" s="91"/>
      <c r="Q128" s="336" t="s">
        <v>463</v>
      </c>
      <c r="R128" s="534">
        <f t="shared" si="7"/>
      </c>
    </row>
    <row r="129" spans="1:18" ht="11.25">
      <c r="A129" s="428">
        <f>Criteria!A133</f>
        <v>1002</v>
      </c>
      <c r="B129" s="437" t="str">
        <f>Criteria!B133</f>
        <v>Total PAHs</v>
      </c>
      <c r="C129" s="164" t="s">
        <v>47</v>
      </c>
      <c r="D129" s="164" t="s">
        <v>47</v>
      </c>
      <c r="E129" s="164">
        <v>0.039</v>
      </c>
      <c r="F129" s="164"/>
      <c r="G129" s="330">
        <f>IF(C129="","Check input1",IF(C129="Y",IF(D129="","Check input2",IF(D129="Y",IF(E129="","Check input3",IF(F129="","","Check input4")),IF(E129="",IF(F129="","Check input5",""),"Check input6"))),IF(D129="",IF(E129="",IF(F129="","","Check input7"),"Check input8"),"Check input9")))</f>
      </c>
      <c r="H129" s="92"/>
      <c r="I129" s="173" t="s">
        <v>48</v>
      </c>
      <c r="J129" s="164"/>
      <c r="K129" s="160"/>
      <c r="L129" s="307"/>
      <c r="M129" s="309">
        <f>IF(I129="N","",IF(J129="N",L129,K129))</f>
      </c>
      <c r="N129" s="337" t="s">
        <v>261</v>
      </c>
      <c r="O129" s="330">
        <f>IF(I129="","Check input1",IF(I129="Y",IF(J129="","Check input2",IF(J129="Y",IF(K129="","Check input3",IF(L129="","","Check input4")),IF(K129="",IF(L129="","Check input5",""),"Check input6"))),IF(J129="",IF(K129="",IF(L129="","","Check input7"),"Check input8"),"Check input9")))</f>
      </c>
      <c r="P129" s="92"/>
      <c r="Q129" s="440" t="s">
        <v>463</v>
      </c>
      <c r="R129" s="534">
        <f t="shared" si="7"/>
      </c>
    </row>
    <row r="130" spans="3:17" ht="11.25">
      <c r="C130" s="82"/>
      <c r="D130" s="82"/>
      <c r="E130" s="82"/>
      <c r="F130" s="82"/>
      <c r="G130" s="82"/>
      <c r="H130" s="82"/>
      <c r="I130" s="82"/>
      <c r="J130" s="82"/>
      <c r="K130" s="82"/>
      <c r="L130" s="82"/>
      <c r="M130" s="82"/>
      <c r="N130" s="82"/>
      <c r="O130" s="82"/>
      <c r="P130" s="82" t="s">
        <v>310</v>
      </c>
      <c r="Q130" s="438"/>
    </row>
    <row r="131" spans="6:17" ht="11.25">
      <c r="F131" s="47"/>
      <c r="Q131" s="439"/>
    </row>
    <row r="132" spans="6:17" ht="11.25">
      <c r="F132" s="47"/>
      <c r="Q132" s="439"/>
    </row>
    <row r="133" spans="6:17" ht="11.25">
      <c r="F133" s="47"/>
      <c r="Q133" s="439"/>
    </row>
    <row r="134" ht="11.25">
      <c r="Q134" s="439"/>
    </row>
    <row r="135" ht="11.25">
      <c r="Q135" s="439"/>
    </row>
    <row r="136" ht="11.25">
      <c r="Q136" s="439"/>
    </row>
  </sheetData>
  <mergeCells count="12">
    <mergeCell ref="B3:B4"/>
    <mergeCell ref="Q2:R2"/>
    <mergeCell ref="A3:A4"/>
    <mergeCell ref="I3:I4"/>
    <mergeCell ref="J3:J4"/>
    <mergeCell ref="C2:G2"/>
    <mergeCell ref="I2:O2"/>
    <mergeCell ref="E3:E4"/>
    <mergeCell ref="F3:F4"/>
    <mergeCell ref="C3:C4"/>
    <mergeCell ref="D3:D4"/>
    <mergeCell ref="K3:K4"/>
  </mergeCells>
  <conditionalFormatting sqref="Q5:Q129">
    <cfRule type="cellIs" priority="1" dxfId="4" operator="equal" stopIfTrue="1">
      <formula>"Yes"</formula>
    </cfRule>
  </conditionalFormatting>
  <printOptions horizontalCentered="1"/>
  <pageMargins left="0.75" right="0.75" top="1" bottom="1" header="0.5" footer="0.5"/>
  <pageSetup fitToHeight="2" fitToWidth="1" horizontalDpi="600" verticalDpi="600" orientation="landscape" scale="54" r:id="rId3"/>
  <headerFooter alignWithMargins="0">
    <oddHeader>&amp;C&amp;20Data Input for Reasonable Potential Analysis&amp;R&amp;18Rodeo Sanitary District
Tentative Order</oddHeader>
    <oddFooter>&amp;L&amp;14&amp;F.xls &amp;   (&amp;A &amp; )&amp;C&amp;14Page &amp;P of &amp;N&amp;R&amp;14&amp;D</oddFooter>
  </headerFooter>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V316"/>
  <sheetViews>
    <sheetView zoomScale="76" zoomScaleNormal="76" workbookViewId="0" topLeftCell="A1">
      <pane xSplit="2" ySplit="3" topLeftCell="C4" activePane="bottomRight" state="frozen"/>
      <selection pane="topLeft" activeCell="N31" sqref="N31"/>
      <selection pane="topRight" activeCell="N31" sqref="N31"/>
      <selection pane="bottomLeft" activeCell="N31" sqref="N31"/>
      <selection pane="bottomRight" activeCell="F34" sqref="F34"/>
    </sheetView>
  </sheetViews>
  <sheetFormatPr defaultColWidth="9.140625" defaultRowHeight="12.75"/>
  <cols>
    <col min="2" max="2" width="20.8515625" style="0" customWidth="1"/>
    <col min="3" max="3" width="13.28125" style="0" customWidth="1"/>
    <col min="6" max="7" width="10.8515625" style="0" customWidth="1"/>
    <col min="8" max="8" width="26.57421875" style="0" customWidth="1"/>
    <col min="9" max="9" width="14.421875" style="1" customWidth="1"/>
    <col min="10" max="10" width="21.421875" style="0" customWidth="1"/>
    <col min="11" max="11" width="1.421875" style="0" customWidth="1"/>
    <col min="14" max="15" width="10.8515625" style="0" customWidth="1"/>
    <col min="16" max="16" width="19.57421875" style="6" customWidth="1"/>
    <col min="17" max="17" width="11.8515625" style="0" customWidth="1"/>
    <col min="18" max="18" width="13.140625" style="0" customWidth="1"/>
    <col min="19" max="19" width="10.00390625" style="0" customWidth="1"/>
    <col min="20" max="20" width="39.28125" style="0" customWidth="1"/>
  </cols>
  <sheetData>
    <row r="1" spans="1:20" ht="17.25" thickBot="1" thickTop="1">
      <c r="A1" s="140" t="s">
        <v>30</v>
      </c>
      <c r="B1" s="141"/>
      <c r="C1" s="142"/>
      <c r="D1" s="143" t="s">
        <v>31</v>
      </c>
      <c r="E1" s="94" t="s">
        <v>32</v>
      </c>
      <c r="F1" s="95"/>
      <c r="G1" s="95"/>
      <c r="H1" s="95"/>
      <c r="I1" s="144"/>
      <c r="J1" s="95" t="s">
        <v>33</v>
      </c>
      <c r="K1" s="93"/>
      <c r="L1" s="95" t="s">
        <v>34</v>
      </c>
      <c r="M1" s="95"/>
      <c r="N1" s="95"/>
      <c r="O1" s="95"/>
      <c r="P1" s="441" t="s">
        <v>35</v>
      </c>
      <c r="Q1" s="145" t="s">
        <v>482</v>
      </c>
      <c r="R1" s="442" t="s">
        <v>479</v>
      </c>
      <c r="S1" s="94" t="s">
        <v>145</v>
      </c>
      <c r="T1" s="448"/>
    </row>
    <row r="2" spans="1:20" s="69" customFormat="1" ht="26.25" customHeight="1" thickBot="1">
      <c r="A2" s="761" t="s">
        <v>278</v>
      </c>
      <c r="B2" s="763" t="s">
        <v>36</v>
      </c>
      <c r="C2" s="597" t="s">
        <v>142</v>
      </c>
      <c r="D2" s="765" t="s">
        <v>143</v>
      </c>
      <c r="E2" s="757" t="s">
        <v>144</v>
      </c>
      <c r="F2" s="757" t="s">
        <v>220</v>
      </c>
      <c r="G2" s="757" t="s">
        <v>221</v>
      </c>
      <c r="H2" s="757" t="s">
        <v>485</v>
      </c>
      <c r="I2" s="598" t="s">
        <v>219</v>
      </c>
      <c r="J2" s="599" t="s">
        <v>222</v>
      </c>
      <c r="K2" s="599"/>
      <c r="L2" s="759" t="s">
        <v>227</v>
      </c>
      <c r="M2" s="757" t="s">
        <v>231</v>
      </c>
      <c r="N2" s="757" t="s">
        <v>220</v>
      </c>
      <c r="O2" s="757" t="s">
        <v>232</v>
      </c>
      <c r="P2" s="599" t="s">
        <v>224</v>
      </c>
      <c r="Q2" s="767" t="s">
        <v>480</v>
      </c>
      <c r="R2" s="767" t="s">
        <v>481</v>
      </c>
      <c r="S2" s="598"/>
      <c r="T2" s="600"/>
    </row>
    <row r="3" spans="1:20" s="69" customFormat="1" ht="64.5" customHeight="1" thickBot="1">
      <c r="A3" s="762"/>
      <c r="B3" s="764"/>
      <c r="C3" s="601" t="s">
        <v>176</v>
      </c>
      <c r="D3" s="766"/>
      <c r="E3" s="758"/>
      <c r="F3" s="758"/>
      <c r="G3" s="758"/>
      <c r="H3" s="769"/>
      <c r="I3" s="602" t="s">
        <v>218</v>
      </c>
      <c r="J3" s="603" t="s">
        <v>223</v>
      </c>
      <c r="K3" s="604"/>
      <c r="L3" s="760"/>
      <c r="M3" s="758"/>
      <c r="N3" s="758"/>
      <c r="O3" s="758"/>
      <c r="P3" s="605" t="s">
        <v>514</v>
      </c>
      <c r="Q3" s="768"/>
      <c r="R3" s="768"/>
      <c r="S3" s="604" t="s">
        <v>225</v>
      </c>
      <c r="T3" s="606" t="s">
        <v>217</v>
      </c>
    </row>
    <row r="4" spans="1:20" ht="12.75">
      <c r="A4" s="615">
        <f>Criteria!A9</f>
        <v>1</v>
      </c>
      <c r="B4" s="238" t="str">
        <f>Criteria!B9</f>
        <v>Antimony</v>
      </c>
      <c r="C4" s="57">
        <f>Criteria!E9</f>
        <v>4300</v>
      </c>
      <c r="D4" s="67" t="str">
        <f>IF(RPAinput!C5="","",RPAinput!C5)</f>
        <v>Y</v>
      </c>
      <c r="E4" s="67" t="str">
        <f>IF(RPAinput!D5="","",RPAinput!D5)</f>
        <v>N</v>
      </c>
      <c r="F4" s="67">
        <f>IF(RPAinput!E5="","",RPAinput!E5)</f>
      </c>
      <c r="G4" s="67">
        <f>IF(RPAinput!F5="","",RPAinput!F5)</f>
        <v>0.47</v>
      </c>
      <c r="H4" s="532">
        <f>IF(C4="No Criteria","No Criteria",IF(D4="N","No effluent data, do IM",IF(E4="N","",IF(F4&lt;=C4,"All ND &amp; MinDL&lt;C, MEC=MDL",IF(AND(E4="Y",F4&gt;C4),"All ND, MinDL&gt;C, do IM","ERROR?")))))</f>
      </c>
      <c r="I4" s="531">
        <f>IF(C4="No Criteria","No Criteria",IF(D4="N","",IF(E4="N",G4,IF(AND(E4="Y",F4&lt;C4),F4,""))))</f>
        <v>0.47</v>
      </c>
      <c r="J4" s="531" t="str">
        <f>IF(C4="No Criteria","No Criteria",IF(D4="N","No effluent data",IF(I4&lt;C4,"MEC&lt;C",IF(AND(E4="Y",F4&gt;C4),"Eff all ND with MinDL&gt;C",IF(I4&gt;=C4,"Need Limit, MEC&gt;=C","ERROR?")))))</f>
        <v>MEC&lt;C</v>
      </c>
      <c r="K4" s="68"/>
      <c r="L4" s="67" t="str">
        <f>IF(RPAinput!I5="","",RPAinput!I5)</f>
        <v>Y</v>
      </c>
      <c r="M4" s="67" t="str">
        <f>IF(RPAinput!J5="","",RPAinput!J5)</f>
        <v>N</v>
      </c>
      <c r="N4" s="67">
        <f>IF(RPAinput!K5="","",RPAinput!K5)</f>
      </c>
      <c r="O4" s="528">
        <f>IF(RPAinput!L5="","",RPAinput!L5)</f>
        <v>1.8</v>
      </c>
      <c r="P4" s="530" t="str">
        <f aca="true" t="shared" si="0" ref="P4:P19">IF(C4="No Criteria","No Criteria",IF(L4="N","No B data",IF(AND(M4="Y",N4&lt;=C4),"B&lt;=C",IF(AND(M4="Y",N4&gt;C4),"All B ND with MinDL&gt;C",IF(O4&lt;=C4,"B&lt;=C",IF(AND(O4&gt;C4,D4="Y",E4="N"),"Need Limit, B&gt;C",IF(O4&gt;C4,"B&gt;C, but no eff detected","ERROR?")))))))</f>
        <v>B&lt;=C</v>
      </c>
      <c r="Q4" s="67" t="str">
        <f>RPAinput!Q5</f>
        <v>No</v>
      </c>
      <c r="R4" s="528">
        <f>IF(OR(D4="N",AND(E4="Y",I4&gt;C4)),"Yes","")</f>
      </c>
      <c r="S4" s="529" t="str">
        <f aca="true" t="shared" si="1" ref="S4:S35">IF(C4="No Criteria","Uo",IF(OR(LEFT(J4,4)="Need",LEFT(P4,4)="Need",Q4="Yes"),"Yes",IF(OR(D4="N",L4="N",AND(E4="Y",F4&gt;C4)),"Ud","No")))</f>
        <v>No</v>
      </c>
      <c r="T4" s="526" t="str">
        <f>IF(C4="No Criteria","No Criteria",IF(D4="N","No effluent data    "&amp;P4,IF(Q4="Yes","TRIGGER 3   "&amp;J4&amp;"    "&amp;P4,J4&amp;"   "&amp;P4)))</f>
        <v>MEC&lt;C   B&lt;=C</v>
      </c>
    </row>
    <row r="5" spans="1:20" ht="12.75">
      <c r="A5" s="433">
        <f>Criteria!A10</f>
        <v>2</v>
      </c>
      <c r="B5" s="238" t="str">
        <f>Criteria!B10</f>
        <v>Arsenic</v>
      </c>
      <c r="C5" s="57">
        <f>Criteria!E10</f>
        <v>36</v>
      </c>
      <c r="D5" s="67" t="str">
        <f>IF(RPAinput!C6="","",RPAinput!C6)</f>
        <v>Y</v>
      </c>
      <c r="E5" s="67" t="str">
        <f>IF(RPAinput!D6="","",RPAinput!D6)</f>
        <v>N</v>
      </c>
      <c r="F5" s="67">
        <f>IF(RPAinput!E6="","",RPAinput!E6)</f>
      </c>
      <c r="G5" s="67">
        <f>IF(RPAinput!F6="","",RPAinput!F6)</f>
        <v>8.2</v>
      </c>
      <c r="H5" s="532">
        <f aca="true" t="shared" si="2" ref="H5:H68">IF(C5="No Criteria","No Criteria",IF(D5="N","No effluent data, do IM",IF(E5="N","",IF(F5&lt;=C5,"All ND &amp; MinDL&lt;C, MEC=MDL",IF(AND(E5="Y",F5&gt;C5),"All ND, MinDL&gt;C, do IM","ERROR?")))))</f>
      </c>
      <c r="I5" s="531">
        <f aca="true" t="shared" si="3" ref="I5:I68">IF(C5="No Criteria","No Criteria",IF(D5="N","",IF(E5="N",G5,IF(AND(E5="Y",F5&lt;C5),F5,""))))</f>
        <v>8.2</v>
      </c>
      <c r="J5" s="531" t="str">
        <f aca="true" t="shared" si="4" ref="J5:J68">IF(C5="No Criteria","No Criteria",IF(D5="N","No effluent data",IF(I5&lt;C5,"MEC&lt;C",IF(AND(E5="Y",F5&gt;C5),"Eff all ND with MinDL&gt;C",IF(I5&gt;=C5,"Need Limit, MEC&gt;=C","ERROR?")))))</f>
        <v>MEC&lt;C</v>
      </c>
      <c r="K5" s="68"/>
      <c r="L5" s="67" t="str">
        <f>IF(RPAinput!I6="","",RPAinput!I6)</f>
        <v>Y</v>
      </c>
      <c r="M5" s="67" t="str">
        <f>IF(RPAinput!J6="","",RPAinput!J6)</f>
        <v>N</v>
      </c>
      <c r="N5" s="67">
        <f>IF(RPAinput!K6="","",RPAinput!K6)</f>
      </c>
      <c r="O5" s="528">
        <f>IF(RPAinput!L6="","",RPAinput!L6)</f>
        <v>2.46</v>
      </c>
      <c r="P5" s="530" t="str">
        <f t="shared" si="0"/>
        <v>B&lt;=C</v>
      </c>
      <c r="Q5" s="67" t="str">
        <f>RPAinput!Q6</f>
        <v>No</v>
      </c>
      <c r="R5" s="528">
        <f aca="true" t="shared" si="5" ref="R5:R68">IF(OR(D5="N",AND(E5="Y",I5&gt;C5)),"Yes","")</f>
      </c>
      <c r="S5" s="529" t="str">
        <f t="shared" si="1"/>
        <v>No</v>
      </c>
      <c r="T5" s="526" t="str">
        <f>IF(C5="No Criteria","No Criteria",IF(D5="N","No effluent data    "&amp;P5,IF(Q5="Yes","TRIGGER 3   "&amp;J5&amp;"    "&amp;P5,J5&amp;"   "&amp;P5)))</f>
        <v>MEC&lt;C   B&lt;=C</v>
      </c>
    </row>
    <row r="6" spans="1:20" ht="12.75">
      <c r="A6" s="433">
        <f>Criteria!A11</f>
        <v>3</v>
      </c>
      <c r="B6" s="238" t="str">
        <f>Criteria!B11</f>
        <v>Beryllium</v>
      </c>
      <c r="C6" s="57" t="str">
        <f>Criteria!E11</f>
        <v>No Criteria</v>
      </c>
      <c r="D6" s="67" t="str">
        <f>IF(RPAinput!C7="","",RPAinput!C7)</f>
        <v>Y</v>
      </c>
      <c r="E6" s="67" t="str">
        <f>IF(RPAinput!D7="","",RPAinput!D7)</f>
        <v>Y</v>
      </c>
      <c r="F6" s="67">
        <f>IF(RPAinput!E7="","",RPAinput!E7)</f>
        <v>0.06</v>
      </c>
      <c r="G6" s="67">
        <f>IF(RPAinput!F7="","",RPAinput!F7)</f>
      </c>
      <c r="H6" s="532" t="str">
        <f t="shared" si="2"/>
        <v>No Criteria</v>
      </c>
      <c r="I6" s="531" t="str">
        <f t="shared" si="3"/>
        <v>No Criteria</v>
      </c>
      <c r="J6" s="531" t="str">
        <f t="shared" si="4"/>
        <v>No Criteria</v>
      </c>
      <c r="K6" s="68"/>
      <c r="L6" s="67" t="str">
        <f>IF(RPAinput!I7="","",RPAinput!I7)</f>
        <v>Y</v>
      </c>
      <c r="M6" s="67" t="str">
        <f>IF(RPAinput!J7="","",RPAinput!J7)</f>
        <v>N</v>
      </c>
      <c r="N6" s="67">
        <f>IF(RPAinput!K7="","",RPAinput!K7)</f>
      </c>
      <c r="O6" s="528">
        <f>IF(RPAinput!L7="","",RPAinput!L7)</f>
        <v>0.215</v>
      </c>
      <c r="P6" s="530" t="str">
        <f t="shared" si="0"/>
        <v>No Criteria</v>
      </c>
      <c r="Q6" s="67" t="str">
        <f>RPAinput!Q7</f>
        <v>No</v>
      </c>
      <c r="R6" s="528">
        <f t="shared" si="5"/>
      </c>
      <c r="S6" s="529" t="str">
        <f t="shared" si="1"/>
        <v>Uo</v>
      </c>
      <c r="T6" s="526" t="str">
        <f>IF(C6="No Criteria","No Criteria",IF(D6="N","No effluent data    "&amp;P6,IF(Q6="Yes","TRIGGER 3   "&amp;J6&amp;"    "&amp;P6,J6&amp;"   "&amp;P6)))</f>
        <v>No Criteria</v>
      </c>
    </row>
    <row r="7" spans="1:20" ht="12.75">
      <c r="A7" s="433">
        <f>Criteria!A12</f>
        <v>4</v>
      </c>
      <c r="B7" s="238" t="str">
        <f>Criteria!B12</f>
        <v>Cadmium</v>
      </c>
      <c r="C7" s="59">
        <f>Criteria!E12</f>
        <v>1.3835698872200755</v>
      </c>
      <c r="D7" s="67" t="str">
        <f>IF(RPAinput!C8="","",RPAinput!C8)</f>
        <v>Y</v>
      </c>
      <c r="E7" s="67" t="str">
        <f>IF(RPAinput!D8="","",RPAinput!D8)</f>
        <v>Y</v>
      </c>
      <c r="F7" s="67">
        <f>IF(RPAinput!E8="","",RPAinput!E8)</f>
        <v>0.1</v>
      </c>
      <c r="G7" s="67">
        <f>IF(RPAinput!F8="","",RPAinput!F8)</f>
      </c>
      <c r="H7" s="532" t="str">
        <f t="shared" si="2"/>
        <v>All ND &amp; MinDL&lt;C, MEC=MDL</v>
      </c>
      <c r="I7" s="531">
        <f t="shared" si="3"/>
        <v>0.1</v>
      </c>
      <c r="J7" s="531" t="str">
        <f t="shared" si="4"/>
        <v>MEC&lt;C</v>
      </c>
      <c r="K7" s="68"/>
      <c r="L7" s="67" t="str">
        <f>IF(RPAinput!I8="","",RPAinput!I8)</f>
        <v>Y</v>
      </c>
      <c r="M7" s="67" t="str">
        <f>IF(RPAinput!J8="","",RPAinput!J8)</f>
        <v>N</v>
      </c>
      <c r="N7" s="67">
        <f>IF(RPAinput!K8="","",RPAinput!K8)</f>
      </c>
      <c r="O7" s="528">
        <f>IF(RPAinput!L8="","",RPAinput!L8)</f>
        <v>0.1268</v>
      </c>
      <c r="P7" s="530" t="str">
        <f t="shared" si="0"/>
        <v>B&lt;=C</v>
      </c>
      <c r="Q7" s="67" t="str">
        <f>RPAinput!Q8</f>
        <v>No</v>
      </c>
      <c r="R7" s="528">
        <f t="shared" si="5"/>
      </c>
      <c r="S7" s="529" t="str">
        <f t="shared" si="1"/>
        <v>No</v>
      </c>
      <c r="T7" s="526" t="str">
        <f>IF(C7="No Criteria","No Criteria",IF(D7="N","No effluent data    "&amp;P7,IF(Q7="Yes","TRIGGER 3   "&amp;J7&amp;"    "&amp;P7,J7&amp;"   "&amp;P7)))</f>
        <v>MEC&lt;C   B&lt;=C</v>
      </c>
    </row>
    <row r="8" spans="1:20" s="9" customFormat="1" ht="12.75">
      <c r="A8" s="433">
        <f>Criteria!A13</f>
        <v>5.1</v>
      </c>
      <c r="B8" s="238" t="str">
        <f>Criteria!B13</f>
        <v>Chromium (III) or total</v>
      </c>
      <c r="C8" s="59">
        <f>Criteria!E13</f>
        <v>113.46717952609072</v>
      </c>
      <c r="D8" s="83" t="str">
        <f>IF(RPAinput!C9="","",RPAinput!C9)</f>
        <v>N</v>
      </c>
      <c r="E8" s="83">
        <f>IF(RPAinput!D9="","",RPAinput!D9)</f>
      </c>
      <c r="F8" s="67">
        <f>IF(RPAinput!E9="","",RPAinput!E9)</f>
      </c>
      <c r="G8" s="67">
        <f>IF(RPAinput!F9="","",RPAinput!F9)</f>
      </c>
      <c r="H8" s="532" t="str">
        <f t="shared" si="2"/>
        <v>No effluent data, do IM</v>
      </c>
      <c r="I8" s="527">
        <f t="shared" si="3"/>
      </c>
      <c r="J8" s="531" t="str">
        <f t="shared" si="4"/>
        <v>No effluent data</v>
      </c>
      <c r="K8" s="85"/>
      <c r="L8" s="67" t="str">
        <f>IF(RPAinput!I9="","",RPAinput!I9)</f>
        <v>N</v>
      </c>
      <c r="M8" s="67">
        <f>IF(RPAinput!J9="","",RPAinput!J9)</f>
      </c>
      <c r="N8" s="67">
        <f>IF(RPAinput!K9="","",RPAinput!K9)</f>
      </c>
      <c r="O8" s="528">
        <f>IF(RPAinput!L9="","",RPAinput!L9)</f>
      </c>
      <c r="P8" s="530" t="str">
        <f t="shared" si="0"/>
        <v>No B data</v>
      </c>
      <c r="Q8" s="67" t="str">
        <f>RPAinput!Q9</f>
        <v>No</v>
      </c>
      <c r="R8" s="529" t="str">
        <f t="shared" si="5"/>
        <v>Yes</v>
      </c>
      <c r="S8" s="529" t="str">
        <f t="shared" si="1"/>
        <v>Ud</v>
      </c>
      <c r="T8" s="526" t="str">
        <f>IF(C8="No Criteria","No Criteria",IF(D8="N","No effluent data    "&amp;P8,IF(Q8="Yes","TRIGGER 3   "&amp;J8&amp;"    "&amp;P8,J8&amp;"   "&amp;P8)))</f>
        <v>No effluent data    No B data</v>
      </c>
    </row>
    <row r="9" spans="1:22" ht="12.75">
      <c r="A9" s="433">
        <f>Criteria!A14</f>
        <v>5.2</v>
      </c>
      <c r="B9" s="238" t="str">
        <f>Criteria!B14</f>
        <v>Chromium (VI)</v>
      </c>
      <c r="C9" s="59">
        <f>Criteria!E14</f>
        <v>11</v>
      </c>
      <c r="D9" s="67" t="str">
        <f>IF(RPAinput!C10="","",RPAinput!C10)</f>
        <v>Y</v>
      </c>
      <c r="E9" s="67" t="str">
        <f>IF(RPAinput!D10="","",RPAinput!D10)</f>
        <v>N</v>
      </c>
      <c r="F9" s="67">
        <f>IF(RPAinput!E10="","",RPAinput!E10)</f>
      </c>
      <c r="G9" s="67">
        <f>IF(RPAinput!F10="","",RPAinput!F10)</f>
        <v>1.2</v>
      </c>
      <c r="H9" s="532">
        <f t="shared" si="2"/>
      </c>
      <c r="I9" s="531">
        <f t="shared" si="3"/>
        <v>1.2</v>
      </c>
      <c r="J9" s="531" t="str">
        <f t="shared" si="4"/>
        <v>MEC&lt;C</v>
      </c>
      <c r="K9" s="68"/>
      <c r="L9" s="67" t="str">
        <f>IF(RPAinput!I10="","",RPAinput!I10)</f>
        <v>Y</v>
      </c>
      <c r="M9" s="67" t="str">
        <f>IF(RPAinput!J10="","",RPAinput!J10)</f>
        <v>N</v>
      </c>
      <c r="N9" s="67">
        <f>IF(RPAinput!K10="","",RPAinput!K10)</f>
      </c>
      <c r="O9" s="528">
        <f>IF(RPAinput!L10="","",RPAinput!L10)</f>
        <v>4.4</v>
      </c>
      <c r="P9" s="530" t="str">
        <f t="shared" si="0"/>
        <v>B&lt;=C</v>
      </c>
      <c r="Q9" s="67" t="str">
        <f>RPAinput!Q10</f>
        <v>No</v>
      </c>
      <c r="R9" s="528">
        <f t="shared" si="5"/>
      </c>
      <c r="S9" s="529" t="str">
        <f t="shared" si="1"/>
        <v>No</v>
      </c>
      <c r="T9" s="526" t="str">
        <f aca="true" t="shared" si="6" ref="T9:T72">IF(C9="No Criteria","No Criteria",IF(D9="N","No effluent data    "&amp;P9,IF(Q9="Yes","TRIGGER 3   "&amp;J9&amp;"    "&amp;P9,J9&amp;"   "&amp;P9)))</f>
        <v>MEC&lt;C   B&lt;=C</v>
      </c>
      <c r="V9" s="9"/>
    </row>
    <row r="10" spans="1:20" ht="12.75">
      <c r="A10" s="433">
        <f>Criteria!A15</f>
        <v>6</v>
      </c>
      <c r="B10" s="238" t="str">
        <f>Criteria!B15</f>
        <v>Copper </v>
      </c>
      <c r="C10" s="59">
        <f>Criteria!E15</f>
        <v>7.16</v>
      </c>
      <c r="D10" s="67" t="str">
        <f>IF(RPAinput!C11="","",RPAinput!C11)</f>
        <v>Y</v>
      </c>
      <c r="E10" s="67" t="str">
        <f>IF(RPAinput!D11="","",RPAinput!D11)</f>
        <v>N</v>
      </c>
      <c r="F10" s="67">
        <f>IF(RPAinput!E11="","",RPAinput!E11)</f>
      </c>
      <c r="G10" s="67">
        <f>IF(RPAinput!F11="","",RPAinput!F11)</f>
        <v>6.5</v>
      </c>
      <c r="H10" s="532">
        <f t="shared" si="2"/>
      </c>
      <c r="I10" s="531">
        <f t="shared" si="3"/>
        <v>6.5</v>
      </c>
      <c r="J10" s="531" t="str">
        <f t="shared" si="4"/>
        <v>MEC&lt;C</v>
      </c>
      <c r="K10" s="68"/>
      <c r="L10" s="67" t="str">
        <f>IF(RPAinput!I11="","",RPAinput!I11)</f>
        <v>Y</v>
      </c>
      <c r="M10" s="67" t="str">
        <f>IF(RPAinput!J11="","",RPAinput!J11)</f>
        <v>N</v>
      </c>
      <c r="N10" s="67">
        <f>IF(RPAinput!K11="","",RPAinput!K11)</f>
      </c>
      <c r="O10" s="528">
        <f>IF(RPAinput!L11="","",RPAinput!L11)</f>
        <v>2.45</v>
      </c>
      <c r="P10" s="530" t="str">
        <f t="shared" si="0"/>
        <v>B&lt;=C</v>
      </c>
      <c r="Q10" s="67" t="str">
        <f>RPAinput!Q11</f>
        <v>No</v>
      </c>
      <c r="R10" s="528">
        <f t="shared" si="5"/>
      </c>
      <c r="S10" s="529" t="str">
        <f t="shared" si="1"/>
        <v>No</v>
      </c>
      <c r="T10" s="526" t="str">
        <f t="shared" si="6"/>
        <v>MEC&lt;C   B&lt;=C</v>
      </c>
    </row>
    <row r="11" spans="1:20" ht="12.75">
      <c r="A11" s="433">
        <f>Criteria!A16</f>
        <v>7</v>
      </c>
      <c r="B11" s="238" t="str">
        <f>Criteria!B16</f>
        <v>Lead</v>
      </c>
      <c r="C11" s="59">
        <f>Criteria!E16</f>
        <v>1.249869176310832</v>
      </c>
      <c r="D11" s="67" t="str">
        <f>IF(RPAinput!C12="","",RPAinput!C12)</f>
        <v>Y</v>
      </c>
      <c r="E11" s="67" t="str">
        <f>IF(RPAinput!D12="","",RPAinput!D12)</f>
        <v>N</v>
      </c>
      <c r="F11" s="67">
        <f>IF(RPAinput!E12="","",RPAinput!E12)</f>
      </c>
      <c r="G11" s="67">
        <f>IF(RPAinput!F12="","",RPAinput!F12)</f>
        <v>0.57</v>
      </c>
      <c r="H11" s="532">
        <f t="shared" si="2"/>
      </c>
      <c r="I11" s="531">
        <f t="shared" si="3"/>
        <v>0.57</v>
      </c>
      <c r="J11" s="531" t="str">
        <f t="shared" si="4"/>
        <v>MEC&lt;C</v>
      </c>
      <c r="K11" s="68"/>
      <c r="L11" s="67" t="str">
        <f>IF(RPAinput!I12="","",RPAinput!I12)</f>
        <v>Y</v>
      </c>
      <c r="M11" s="67" t="str">
        <f>IF(RPAinput!J12="","",RPAinput!J12)</f>
        <v>N</v>
      </c>
      <c r="N11" s="67">
        <f>IF(RPAinput!K12="","",RPAinput!K12)</f>
      </c>
      <c r="O11" s="528">
        <f>IF(RPAinput!L12="","",RPAinput!L12)</f>
        <v>0.8</v>
      </c>
      <c r="P11" s="530" t="str">
        <f t="shared" si="0"/>
        <v>B&lt;=C</v>
      </c>
      <c r="Q11" s="67" t="str">
        <f>RPAinput!Q12</f>
        <v>No</v>
      </c>
      <c r="R11" s="528">
        <f t="shared" si="5"/>
      </c>
      <c r="S11" s="529" t="str">
        <f t="shared" si="1"/>
        <v>No</v>
      </c>
      <c r="T11" s="526" t="str">
        <f t="shared" si="6"/>
        <v>MEC&lt;C   B&lt;=C</v>
      </c>
    </row>
    <row r="12" spans="1:20" ht="12.75">
      <c r="A12" s="433">
        <f>Criteria!A17</f>
        <v>8</v>
      </c>
      <c r="B12" s="238" t="str">
        <f>Criteria!B17</f>
        <v>Mercury</v>
      </c>
      <c r="C12" s="60">
        <f>Criteria!E17</f>
        <v>0.025</v>
      </c>
      <c r="D12" s="67" t="str">
        <f>IF(RPAinput!C13="","",RPAinput!C13)</f>
        <v>Y</v>
      </c>
      <c r="E12" s="67" t="str">
        <f>IF(RPAinput!D13="","",RPAinput!D13)</f>
        <v>N</v>
      </c>
      <c r="F12" s="67">
        <f>IF(RPAinput!E13="","",RPAinput!E13)</f>
      </c>
      <c r="G12" s="67">
        <f>IF(RPAinput!F13="","",RPAinput!F13)</f>
        <v>0.014</v>
      </c>
      <c r="H12" s="532">
        <f t="shared" si="2"/>
      </c>
      <c r="I12" s="531">
        <f t="shared" si="3"/>
        <v>0.014</v>
      </c>
      <c r="J12" s="531" t="str">
        <f t="shared" si="4"/>
        <v>MEC&lt;C</v>
      </c>
      <c r="K12" s="68"/>
      <c r="L12" s="67" t="str">
        <f>IF(RPAinput!I13="","",RPAinput!I13)</f>
        <v>Y</v>
      </c>
      <c r="M12" s="67" t="str">
        <f>IF(RPAinput!J13="","",RPAinput!J13)</f>
        <v>N</v>
      </c>
      <c r="N12" s="67">
        <f>IF(RPAinput!K13="","",RPAinput!K13)</f>
      </c>
      <c r="O12" s="528">
        <f>IF(RPAinput!L13="","",RPAinput!L13)</f>
        <v>0.0086</v>
      </c>
      <c r="P12" s="530" t="str">
        <f t="shared" si="0"/>
        <v>B&lt;=C</v>
      </c>
      <c r="Q12" s="67" t="str">
        <f>RPAinput!Q13</f>
        <v>Yes</v>
      </c>
      <c r="R12" s="528">
        <f t="shared" si="5"/>
      </c>
      <c r="S12" s="529" t="str">
        <f t="shared" si="1"/>
        <v>Yes</v>
      </c>
      <c r="T12" s="526" t="str">
        <f t="shared" si="6"/>
        <v>TRIGGER 3   MEC&lt;C    B&lt;=C</v>
      </c>
    </row>
    <row r="13" spans="1:20" ht="12.75">
      <c r="A13" s="433">
        <f>Criteria!A18</f>
        <v>9</v>
      </c>
      <c r="B13" s="238" t="str">
        <f>Criteria!B18</f>
        <v>Nickel</v>
      </c>
      <c r="C13" s="59">
        <f>Criteria!E18</f>
        <v>103.52000366864004</v>
      </c>
      <c r="D13" s="67" t="str">
        <f>IF(RPAinput!C14="","",RPAinput!C14)</f>
        <v>Y</v>
      </c>
      <c r="E13" s="67" t="str">
        <f>IF(RPAinput!D14="","",RPAinput!D14)</f>
        <v>N</v>
      </c>
      <c r="F13" s="67">
        <f>IF(RPAinput!E14="","",RPAinput!E14)</f>
      </c>
      <c r="G13" s="67">
        <f>IF(RPAinput!F14="","",RPAinput!F14)</f>
        <v>6</v>
      </c>
      <c r="H13" s="532">
        <f t="shared" si="2"/>
      </c>
      <c r="I13" s="531">
        <f t="shared" si="3"/>
        <v>6</v>
      </c>
      <c r="J13" s="531" t="str">
        <f t="shared" si="4"/>
        <v>MEC&lt;C</v>
      </c>
      <c r="K13" s="68"/>
      <c r="L13" s="67" t="str">
        <f>IF(RPAinput!I14="","",RPAinput!I14)</f>
        <v>Y</v>
      </c>
      <c r="M13" s="67" t="str">
        <f>IF(RPAinput!J14="","",RPAinput!J14)</f>
        <v>N</v>
      </c>
      <c r="N13" s="67">
        <f>IF(RPAinput!K14="","",RPAinput!K14)</f>
      </c>
      <c r="O13" s="528">
        <f>IF(RPAinput!L14="","",RPAinput!L14)</f>
        <v>3.7</v>
      </c>
      <c r="P13" s="530" t="str">
        <f t="shared" si="0"/>
        <v>B&lt;=C</v>
      </c>
      <c r="Q13" s="67" t="str">
        <f>RPAinput!Q14</f>
        <v>No</v>
      </c>
      <c r="R13" s="528">
        <f t="shared" si="5"/>
      </c>
      <c r="S13" s="529" t="str">
        <f t="shared" si="1"/>
        <v>No</v>
      </c>
      <c r="T13" s="526" t="str">
        <f t="shared" si="6"/>
        <v>MEC&lt;C   B&lt;=C</v>
      </c>
    </row>
    <row r="14" spans="1:20" ht="12.75">
      <c r="A14" s="433">
        <f>Criteria!A19</f>
        <v>10</v>
      </c>
      <c r="B14" s="238" t="str">
        <f>Criteria!B19</f>
        <v>Selenium</v>
      </c>
      <c r="C14" s="59">
        <f>Criteria!E19</f>
        <v>5</v>
      </c>
      <c r="D14" s="67" t="str">
        <f>IF(RPAinput!C15="","",RPAinput!C15)</f>
        <v>Y</v>
      </c>
      <c r="E14" s="67" t="str">
        <f>IF(RPAinput!D15="","",RPAinput!D15)</f>
        <v>N</v>
      </c>
      <c r="F14" s="67">
        <f>IF(RPAinput!E15="","",RPAinput!E15)</f>
      </c>
      <c r="G14" s="67">
        <f>IF(RPAinput!F15="","",RPAinput!F15)</f>
        <v>1.1</v>
      </c>
      <c r="H14" s="532">
        <f t="shared" si="2"/>
      </c>
      <c r="I14" s="531">
        <f t="shared" si="3"/>
        <v>1.1</v>
      </c>
      <c r="J14" s="531" t="str">
        <f t="shared" si="4"/>
        <v>MEC&lt;C</v>
      </c>
      <c r="K14" s="68"/>
      <c r="L14" s="67" t="str">
        <f>IF(RPAinput!I15="","",RPAinput!I15)</f>
        <v>Y</v>
      </c>
      <c r="M14" s="67" t="str">
        <f>IF(RPAinput!J15="","",RPAinput!J15)</f>
        <v>N</v>
      </c>
      <c r="N14" s="67">
        <f>IF(RPAinput!K15="","",RPAinput!K15)</f>
      </c>
      <c r="O14" s="528">
        <f>IF(RPAinput!L15="","",RPAinput!L15)</f>
        <v>0.39</v>
      </c>
      <c r="P14" s="530" t="str">
        <f t="shared" si="0"/>
        <v>B&lt;=C</v>
      </c>
      <c r="Q14" s="67" t="str">
        <f>RPAinput!Q15</f>
        <v>No</v>
      </c>
      <c r="R14" s="528">
        <f t="shared" si="5"/>
      </c>
      <c r="S14" s="529" t="str">
        <f t="shared" si="1"/>
        <v>No</v>
      </c>
      <c r="T14" s="526" t="str">
        <f t="shared" si="6"/>
        <v>MEC&lt;C   B&lt;=C</v>
      </c>
    </row>
    <row r="15" spans="1:20" ht="12.75">
      <c r="A15" s="433">
        <f>Criteria!A20</f>
        <v>11</v>
      </c>
      <c r="B15" s="238" t="str">
        <f>Criteria!B20</f>
        <v>Silver</v>
      </c>
      <c r="C15" s="59">
        <f>Criteria!E20</f>
        <v>1.1485103315097878</v>
      </c>
      <c r="D15" s="67" t="str">
        <f>IF(RPAinput!C16="","",RPAinput!C16)</f>
        <v>Y</v>
      </c>
      <c r="E15" s="67" t="str">
        <f>IF(RPAinput!D16="","",RPAinput!D16)</f>
        <v>N</v>
      </c>
      <c r="F15" s="67">
        <f>IF(RPAinput!E16="","",RPAinput!E16)</f>
      </c>
      <c r="G15" s="67">
        <f>IF(RPAinput!F16="","",RPAinput!F16)</f>
        <v>0.1</v>
      </c>
      <c r="H15" s="532">
        <f t="shared" si="2"/>
      </c>
      <c r="I15" s="531">
        <f t="shared" si="3"/>
        <v>0.1</v>
      </c>
      <c r="J15" s="531" t="str">
        <f t="shared" si="4"/>
        <v>MEC&lt;C</v>
      </c>
      <c r="K15" s="68"/>
      <c r="L15" s="67" t="str">
        <f>IF(RPAinput!I16="","",RPAinput!I16)</f>
        <v>Y</v>
      </c>
      <c r="M15" s="67" t="str">
        <f>IF(RPAinput!J16="","",RPAinput!J16)</f>
        <v>N</v>
      </c>
      <c r="N15" s="67">
        <f>IF(RPAinput!K16="","",RPAinput!K16)</f>
      </c>
      <c r="O15" s="528">
        <f>IF(RPAinput!L16="","",RPAinput!L16)</f>
        <v>0.0516</v>
      </c>
      <c r="P15" s="530" t="str">
        <f t="shared" si="0"/>
        <v>B&lt;=C</v>
      </c>
      <c r="Q15" s="67" t="str">
        <f>RPAinput!Q16</f>
        <v>No</v>
      </c>
      <c r="R15" s="528">
        <f t="shared" si="5"/>
      </c>
      <c r="S15" s="529" t="str">
        <f t="shared" si="1"/>
        <v>No</v>
      </c>
      <c r="T15" s="526" t="str">
        <f t="shared" si="6"/>
        <v>MEC&lt;C   B&lt;=C</v>
      </c>
    </row>
    <row r="16" spans="1:20" s="9" customFormat="1" ht="12.75">
      <c r="A16" s="433">
        <f>Criteria!A21</f>
        <v>12</v>
      </c>
      <c r="B16" s="238" t="str">
        <f>Criteria!B21</f>
        <v>Thallium</v>
      </c>
      <c r="C16" s="59">
        <f>Criteria!E21</f>
        <v>6.3</v>
      </c>
      <c r="D16" s="83" t="s">
        <v>47</v>
      </c>
      <c r="E16" s="83" t="str">
        <f>IF(RPAinput!D17="","",RPAinput!D17)</f>
        <v>N</v>
      </c>
      <c r="F16" s="67">
        <f>IF(RPAinput!E17="","",RPAinput!E17)</f>
      </c>
      <c r="G16" s="67">
        <f>IF(RPAinput!F17="","",RPAinput!F17)</f>
        <v>0.06</v>
      </c>
      <c r="H16" s="532">
        <f t="shared" si="2"/>
      </c>
      <c r="I16" s="527">
        <f t="shared" si="3"/>
        <v>0.06</v>
      </c>
      <c r="J16" s="531" t="str">
        <f t="shared" si="4"/>
        <v>MEC&lt;C</v>
      </c>
      <c r="K16" s="85"/>
      <c r="L16" s="67" t="str">
        <f>IF(RPAinput!I17="","",RPAinput!I17)</f>
        <v>Y</v>
      </c>
      <c r="M16" s="67" t="str">
        <f>IF(RPAinput!J17="","",RPAinput!J17)</f>
        <v>N</v>
      </c>
      <c r="N16" s="67">
        <f>IF(RPAinput!K17="","",RPAinput!K17)</f>
      </c>
      <c r="O16" s="528">
        <f>IF(RPAinput!L17="","",RPAinput!L17)</f>
        <v>0.21</v>
      </c>
      <c r="P16" s="530" t="str">
        <f t="shared" si="0"/>
        <v>B&lt;=C</v>
      </c>
      <c r="Q16" s="67" t="str">
        <f>RPAinput!Q17</f>
        <v>No</v>
      </c>
      <c r="R16" s="529">
        <f t="shared" si="5"/>
      </c>
      <c r="S16" s="529" t="str">
        <f t="shared" si="1"/>
        <v>No</v>
      </c>
      <c r="T16" s="526" t="str">
        <f t="shared" si="6"/>
        <v>MEC&lt;C   B&lt;=C</v>
      </c>
    </row>
    <row r="17" spans="1:20" ht="12.75">
      <c r="A17" s="433">
        <f>Criteria!A22</f>
        <v>13</v>
      </c>
      <c r="B17" s="238" t="str">
        <f>Criteria!B22</f>
        <v>Zinc</v>
      </c>
      <c r="C17" s="59">
        <f>Criteria!E22</f>
        <v>64.33273608509161</v>
      </c>
      <c r="D17" s="67" t="str">
        <f>IF(RPAinput!C18="","",RPAinput!C18)</f>
        <v>Y</v>
      </c>
      <c r="E17" s="67" t="str">
        <f>IF(RPAinput!D18="","",RPAinput!D18)</f>
        <v>N</v>
      </c>
      <c r="F17" s="67">
        <f>IF(RPAinput!E18="","",RPAinput!E18)</f>
      </c>
      <c r="G17" s="67">
        <f>IF(RPAinput!F18="","",RPAinput!F18)</f>
        <v>68</v>
      </c>
      <c r="H17" s="532">
        <f t="shared" si="2"/>
      </c>
      <c r="I17" s="531">
        <f t="shared" si="3"/>
        <v>68</v>
      </c>
      <c r="J17" s="531" t="str">
        <f t="shared" si="4"/>
        <v>Need Limit, MEC&gt;=C</v>
      </c>
      <c r="K17" s="68"/>
      <c r="L17" s="67" t="str">
        <f>IF(RPAinput!I18="","",RPAinput!I18)</f>
        <v>Y</v>
      </c>
      <c r="M17" s="67" t="str">
        <f>IF(RPAinput!J18="","",RPAinput!J18)</f>
        <v>N</v>
      </c>
      <c r="N17" s="67">
        <f>IF(RPAinput!K18="","",RPAinput!K18)</f>
      </c>
      <c r="O17" s="528">
        <f>IF(RPAinput!L18="","",RPAinput!L18)</f>
        <v>4.4</v>
      </c>
      <c r="P17" s="530" t="str">
        <f t="shared" si="0"/>
        <v>B&lt;=C</v>
      </c>
      <c r="Q17" s="67" t="str">
        <f>RPAinput!Q18</f>
        <v>No</v>
      </c>
      <c r="R17" s="528">
        <f t="shared" si="5"/>
      </c>
      <c r="S17" s="529" t="str">
        <f t="shared" si="1"/>
        <v>Yes</v>
      </c>
      <c r="T17" s="526" t="str">
        <f t="shared" si="6"/>
        <v>Need Limit, MEC&gt;=C   B&lt;=C</v>
      </c>
    </row>
    <row r="18" spans="1:20" ht="12.75">
      <c r="A18" s="433">
        <f>Criteria!A23</f>
        <v>14</v>
      </c>
      <c r="B18" s="238" t="str">
        <f>Criteria!B23</f>
        <v>Cyanide</v>
      </c>
      <c r="C18" s="59">
        <f>Criteria!E23</f>
        <v>1</v>
      </c>
      <c r="D18" s="67" t="str">
        <f>IF(RPAinput!C19="","",RPAinput!C19)</f>
        <v>Y</v>
      </c>
      <c r="E18" s="67" t="str">
        <f>IF(RPAinput!D19="","",RPAinput!D19)</f>
        <v>N</v>
      </c>
      <c r="F18" s="67">
        <f>IF(RPAinput!E19="","",RPAinput!E19)</f>
      </c>
      <c r="G18" s="67">
        <f>IF(RPAinput!F19="","",RPAinput!F19)</f>
        <v>8</v>
      </c>
      <c r="H18" s="532">
        <f t="shared" si="2"/>
      </c>
      <c r="I18" s="531">
        <f t="shared" si="3"/>
        <v>8</v>
      </c>
      <c r="J18" s="531" t="str">
        <f t="shared" si="4"/>
        <v>Need Limit, MEC&gt;=C</v>
      </c>
      <c r="K18" s="68"/>
      <c r="L18" s="67" t="str">
        <f>IF(RPAinput!I19="","",RPAinput!I19)</f>
        <v>Y</v>
      </c>
      <c r="M18" s="67" t="str">
        <f>IF(RPAinput!J19="","",RPAinput!J19)</f>
        <v>Y</v>
      </c>
      <c r="N18" s="67">
        <f>IF(RPAinput!K19="","",RPAinput!K19)</f>
        <v>0.4</v>
      </c>
      <c r="O18" s="528">
        <f>IF(RPAinput!L19="","",RPAinput!L19)</f>
      </c>
      <c r="P18" s="530" t="str">
        <f t="shared" si="0"/>
        <v>B&lt;=C</v>
      </c>
      <c r="Q18" s="67" t="str">
        <f>RPAinput!Q19</f>
        <v>No</v>
      </c>
      <c r="R18" s="528">
        <f t="shared" si="5"/>
      </c>
      <c r="S18" s="529" t="str">
        <f t="shared" si="1"/>
        <v>Yes</v>
      </c>
      <c r="T18" s="526" t="str">
        <f t="shared" si="6"/>
        <v>Need Limit, MEC&gt;=C   B&lt;=C</v>
      </c>
    </row>
    <row r="19" spans="1:20" ht="12.75">
      <c r="A19" s="433">
        <f>Criteria!A24</f>
        <v>15</v>
      </c>
      <c r="B19" s="238" t="str">
        <f>Criteria!B24</f>
        <v>Asbestos</v>
      </c>
      <c r="C19" s="57" t="str">
        <f>Criteria!E24</f>
        <v>No Criteria</v>
      </c>
      <c r="D19" s="67" t="str">
        <f>IF(RPAinput!C20="","",RPAinput!C20)</f>
        <v>N</v>
      </c>
      <c r="E19" s="67">
        <f>IF(RPAinput!D20="","",RPAinput!D20)</f>
      </c>
      <c r="F19" s="67">
        <f>IF(RPAinput!E20="","",RPAinput!E20)</f>
      </c>
      <c r="G19" s="67">
        <f>IF(RPAinput!F20="","",RPAinput!F20)</f>
      </c>
      <c r="H19" s="532" t="str">
        <f t="shared" si="2"/>
        <v>No Criteria</v>
      </c>
      <c r="I19" s="531" t="str">
        <f t="shared" si="3"/>
        <v>No Criteria</v>
      </c>
      <c r="J19" s="531" t="str">
        <f t="shared" si="4"/>
        <v>No Criteria</v>
      </c>
      <c r="K19" s="68"/>
      <c r="L19" s="67" t="str">
        <f>IF(RPAinput!I20="","",RPAinput!I20)</f>
        <v>N</v>
      </c>
      <c r="M19" s="67">
        <f>IF(RPAinput!J20="","",RPAinput!J20)</f>
      </c>
      <c r="N19" s="67">
        <f>IF(RPAinput!K20="","",RPAinput!K20)</f>
      </c>
      <c r="O19" s="528">
        <f>IF(RPAinput!L20="","",RPAinput!L20)</f>
      </c>
      <c r="P19" s="530" t="str">
        <f t="shared" si="0"/>
        <v>No Criteria</v>
      </c>
      <c r="Q19" s="67" t="str">
        <f>RPAinput!Q20</f>
        <v>No</v>
      </c>
      <c r="R19" s="528" t="str">
        <f t="shared" si="5"/>
        <v>Yes</v>
      </c>
      <c r="S19" s="529" t="str">
        <f t="shared" si="1"/>
        <v>Uo</v>
      </c>
      <c r="T19" s="526" t="str">
        <f t="shared" si="6"/>
        <v>No Criteria</v>
      </c>
    </row>
    <row r="20" spans="1:20" ht="12.75">
      <c r="A20" s="434">
        <f>Criteria!A25</f>
        <v>16</v>
      </c>
      <c r="B20" s="238" t="str">
        <f>Criteria!B26</f>
        <v>Dioxin-TEQ</v>
      </c>
      <c r="C20" s="237">
        <f>Criteria!E26</f>
        <v>1.4E-08</v>
      </c>
      <c r="D20" s="67" t="str">
        <f>IF(RPAinput!C22="","",RPAinput!C22)</f>
        <v>Y</v>
      </c>
      <c r="E20" s="67" t="str">
        <f>IF(RPAinput!D22="","",RPAinput!D22)</f>
        <v>N</v>
      </c>
      <c r="F20" s="67">
        <f>IF(RPAinput!E22="","",RPAinput!E22)</f>
      </c>
      <c r="G20" s="67">
        <f>IF(RPAinput!F22="","",RPAinput!F22)</f>
        <v>4.1369000000000005E-08</v>
      </c>
      <c r="H20" s="532">
        <f t="shared" si="2"/>
      </c>
      <c r="I20" s="531">
        <f t="shared" si="3"/>
        <v>4.1369000000000005E-08</v>
      </c>
      <c r="J20" s="531" t="str">
        <f t="shared" si="4"/>
        <v>Need Limit, MEC&gt;=C</v>
      </c>
      <c r="K20" s="68"/>
      <c r="L20" s="67" t="str">
        <f>IF(RPAinput!I22="","",RPAinput!I22)</f>
        <v>Y</v>
      </c>
      <c r="M20" s="67" t="str">
        <f>IF(RPAinput!J22="","",RPAinput!J22)</f>
        <v>N</v>
      </c>
      <c r="N20" s="67">
        <f>IF(RPAinput!K22="","",RPAinput!K22)</f>
      </c>
      <c r="O20" s="528">
        <f>IF(RPAinput!L22="","",RPAinput!L22)</f>
        <v>7.1E-08</v>
      </c>
      <c r="P20" s="530" t="str">
        <f>IF(C20="No Criteria","No Criteria",IF(L20="N","No B data",IF(AND(M20="Y",N20&lt;=C20),"B&lt;=C",IF(AND(M20="Y",N20&gt;C20),"All B ND with MinDL&gt;C",IF(O20&lt;=C20,"B&lt;=C",IF(AND(O20&gt;C20,D20="Y",E20="N"),"Need Limit, B&gt;C",IF(O20&gt;C20,"B&gt;C, but no eff detected","ERROR?")))))))</f>
        <v>Need Limit, B&gt;C</v>
      </c>
      <c r="Q20" s="67" t="str">
        <f>RPAinput!Q22</f>
        <v>No</v>
      </c>
      <c r="R20" s="528">
        <f t="shared" si="5"/>
      </c>
      <c r="S20" s="529" t="str">
        <f t="shared" si="1"/>
        <v>Yes</v>
      </c>
      <c r="T20" s="526" t="str">
        <f t="shared" si="6"/>
        <v>Need Limit, MEC&gt;=C   Need Limit, B&gt;C</v>
      </c>
    </row>
    <row r="21" spans="1:20" s="9" customFormat="1" ht="12.75">
      <c r="A21" s="433">
        <f>Criteria!A27</f>
        <v>17</v>
      </c>
      <c r="B21" s="238" t="str">
        <f>Criteria!B27</f>
        <v>Acrolein</v>
      </c>
      <c r="C21" s="57">
        <f>Criteria!E27</f>
        <v>780</v>
      </c>
      <c r="D21" s="83" t="str">
        <f>IF(RPAinput!C23="","",RPAinput!C23)</f>
        <v>Y</v>
      </c>
      <c r="E21" s="67" t="str">
        <f>IF(RPAinput!D23="","",RPAinput!D23)</f>
        <v>Y</v>
      </c>
      <c r="F21" s="67">
        <f>IF(RPAinput!E23="","",RPAinput!E23)</f>
        <v>0.56</v>
      </c>
      <c r="G21" s="67">
        <f>IF(RPAinput!F23="","",RPAinput!F23)</f>
      </c>
      <c r="H21" s="532" t="str">
        <f t="shared" si="2"/>
        <v>All ND &amp; MinDL&lt;C, MEC=MDL</v>
      </c>
      <c r="I21" s="531">
        <f t="shared" si="3"/>
        <v>0.56</v>
      </c>
      <c r="J21" s="531" t="str">
        <f t="shared" si="4"/>
        <v>MEC&lt;C</v>
      </c>
      <c r="K21" s="85"/>
      <c r="L21" s="67" t="str">
        <f>IF(RPAinput!I23="","",RPAinput!I23)</f>
        <v>Y</v>
      </c>
      <c r="M21" s="67" t="str">
        <f>IF(RPAinput!J23="","",RPAinput!J23)</f>
        <v>Y</v>
      </c>
      <c r="N21" s="67">
        <f>IF(RPAinput!K23="","",RPAinput!K23)</f>
        <v>0.5</v>
      </c>
      <c r="O21" s="528">
        <f>IF(RPAinput!L23="","",RPAinput!L23)</f>
      </c>
      <c r="P21" s="530" t="str">
        <f aca="true" t="shared" si="7" ref="P21:P84">IF(C21="No Criteria","No Criteria",IF(L21="N","No B data",IF(AND(M21="Y",N21&lt;=C21),"B&lt;=C",IF(AND(M21="Y",N21&gt;C21),"All B ND with MinDL&gt;C",IF(O21&lt;=C21,"B&lt;=C",IF(AND(O21&gt;C21,D21="Y",E21="N"),"Need Limit, B&gt;C",IF(O21&gt;C21,"B&gt;C, but no eff detected","ERROR?")))))))</f>
        <v>B&lt;=C</v>
      </c>
      <c r="Q21" s="67" t="str">
        <f>RPAinput!Q23</f>
        <v>No</v>
      </c>
      <c r="R21" s="529">
        <f t="shared" si="5"/>
      </c>
      <c r="S21" s="529" t="str">
        <f t="shared" si="1"/>
        <v>No</v>
      </c>
      <c r="T21" s="526" t="str">
        <f t="shared" si="6"/>
        <v>MEC&lt;C   B&lt;=C</v>
      </c>
    </row>
    <row r="22" spans="1:20" s="9" customFormat="1" ht="12.75">
      <c r="A22" s="433">
        <f>Criteria!A28</f>
        <v>18</v>
      </c>
      <c r="B22" s="238" t="str">
        <f>Criteria!B28</f>
        <v>Acrylonitrile</v>
      </c>
      <c r="C22" s="59">
        <f>Criteria!E28</f>
        <v>0.66</v>
      </c>
      <c r="D22" s="83" t="str">
        <f>IF(RPAinput!C24="","",RPAinput!C24)</f>
        <v>Y</v>
      </c>
      <c r="E22" s="67" t="str">
        <f>IF(RPAinput!D24="","",RPAinput!D24)</f>
        <v>Y</v>
      </c>
      <c r="F22" s="67">
        <f>IF(RPAinput!E24="","",RPAinput!E24)</f>
        <v>0.33</v>
      </c>
      <c r="G22" s="67">
        <f>IF(RPAinput!F24="","",RPAinput!F24)</f>
      </c>
      <c r="H22" s="532" t="str">
        <f t="shared" si="2"/>
        <v>All ND &amp; MinDL&lt;C, MEC=MDL</v>
      </c>
      <c r="I22" s="531">
        <f t="shared" si="3"/>
        <v>0.33</v>
      </c>
      <c r="J22" s="531" t="str">
        <f t="shared" si="4"/>
        <v>MEC&lt;C</v>
      </c>
      <c r="K22" s="85"/>
      <c r="L22" s="67" t="str">
        <f>IF(RPAinput!I24="","",RPAinput!I24)</f>
        <v>Y</v>
      </c>
      <c r="M22" s="67" t="str">
        <f>IF(RPAinput!J24="","",RPAinput!J24)</f>
        <v>N</v>
      </c>
      <c r="N22" s="67">
        <f>IF(RPAinput!K24="","",RPAinput!K24)</f>
      </c>
      <c r="O22" s="528">
        <f>IF(RPAinput!L24="","",RPAinput!L24)</f>
        <v>0.03</v>
      </c>
      <c r="P22" s="530" t="str">
        <f t="shared" si="7"/>
        <v>B&lt;=C</v>
      </c>
      <c r="Q22" s="67" t="str">
        <f>RPAinput!Q24</f>
        <v>No</v>
      </c>
      <c r="R22" s="529">
        <f t="shared" si="5"/>
      </c>
      <c r="S22" s="529" t="str">
        <f t="shared" si="1"/>
        <v>No</v>
      </c>
      <c r="T22" s="526" t="str">
        <f t="shared" si="6"/>
        <v>MEC&lt;C   B&lt;=C</v>
      </c>
    </row>
    <row r="23" spans="1:20" s="9" customFormat="1" ht="12.75">
      <c r="A23" s="433">
        <f>Criteria!A29</f>
        <v>19</v>
      </c>
      <c r="B23" s="238" t="str">
        <f>Criteria!B29</f>
        <v>Benzene</v>
      </c>
      <c r="C23" s="57">
        <f>Criteria!E29</f>
        <v>71</v>
      </c>
      <c r="D23" s="83" t="str">
        <f>IF(RPAinput!C25="","",RPAinput!C25)</f>
        <v>Y</v>
      </c>
      <c r="E23" s="67" t="str">
        <f>IF(RPAinput!D25="","",RPAinput!D25)</f>
        <v>Y</v>
      </c>
      <c r="F23" s="67">
        <f>IF(RPAinput!E25="","",RPAinput!E25)</f>
        <v>0.06</v>
      </c>
      <c r="G23" s="67">
        <f>IF(RPAinput!F25="","",RPAinput!F25)</f>
      </c>
      <c r="H23" s="532" t="str">
        <f t="shared" si="2"/>
        <v>All ND &amp; MinDL&lt;C, MEC=MDL</v>
      </c>
      <c r="I23" s="527">
        <f t="shared" si="3"/>
        <v>0.06</v>
      </c>
      <c r="J23" s="531" t="str">
        <f t="shared" si="4"/>
        <v>MEC&lt;C</v>
      </c>
      <c r="K23" s="85"/>
      <c r="L23" s="67" t="str">
        <f>IF(RPAinput!I25="","",RPAinput!I25)</f>
        <v>Y</v>
      </c>
      <c r="M23" s="67" t="str">
        <f>IF(RPAinput!J25="","",RPAinput!J25)</f>
        <v>Y</v>
      </c>
      <c r="N23" s="67">
        <f>IF(RPAinput!K25="","",RPAinput!K25)</f>
        <v>0.05</v>
      </c>
      <c r="O23" s="528">
        <f>IF(RPAinput!L25="","",RPAinput!L25)</f>
      </c>
      <c r="P23" s="530" t="str">
        <f t="shared" si="7"/>
        <v>B&lt;=C</v>
      </c>
      <c r="Q23" s="67" t="str">
        <f>RPAinput!Q25</f>
        <v>No</v>
      </c>
      <c r="R23" s="529">
        <f t="shared" si="5"/>
      </c>
      <c r="S23" s="529" t="str">
        <f t="shared" si="1"/>
        <v>No</v>
      </c>
      <c r="T23" s="526" t="str">
        <f t="shared" si="6"/>
        <v>MEC&lt;C   B&lt;=C</v>
      </c>
    </row>
    <row r="24" spans="1:20" ht="12.75">
      <c r="A24" s="433">
        <f>Criteria!A30</f>
        <v>20</v>
      </c>
      <c r="B24" s="238" t="str">
        <f>Criteria!B30</f>
        <v>Bromoform</v>
      </c>
      <c r="C24" s="57">
        <f>Criteria!E30</f>
        <v>360</v>
      </c>
      <c r="D24" s="67" t="str">
        <f>IF(RPAinput!C26="","",RPAinput!C26)</f>
        <v>Y</v>
      </c>
      <c r="E24" s="67" t="str">
        <f>IF(RPAinput!D26="","",RPAinput!D26)</f>
        <v>N</v>
      </c>
      <c r="F24" s="67">
        <f>IF(RPAinput!E26="","",RPAinput!E26)</f>
      </c>
      <c r="G24" s="67">
        <f>IF(RPAinput!F26="","",RPAinput!F26)</f>
        <v>1.2</v>
      </c>
      <c r="H24" s="532">
        <f t="shared" si="2"/>
      </c>
      <c r="I24" s="531">
        <f t="shared" si="3"/>
        <v>1.2</v>
      </c>
      <c r="J24" s="531" t="str">
        <f t="shared" si="4"/>
        <v>MEC&lt;C</v>
      </c>
      <c r="K24" s="68"/>
      <c r="L24" s="67" t="str">
        <f>IF(RPAinput!I26="","",RPAinput!I26)</f>
        <v>Y</v>
      </c>
      <c r="M24" s="67" t="str">
        <f>IF(RPAinput!J26="","",RPAinput!J26)</f>
        <v>Y</v>
      </c>
      <c r="N24" s="67">
        <f>IF(RPAinput!K26="","",RPAinput!K26)</f>
        <v>0.5</v>
      </c>
      <c r="O24" s="528">
        <f>IF(RPAinput!L26="","",RPAinput!L26)</f>
      </c>
      <c r="P24" s="530" t="str">
        <f t="shared" si="7"/>
        <v>B&lt;=C</v>
      </c>
      <c r="Q24" s="67" t="str">
        <f>RPAinput!Q26</f>
        <v>No</v>
      </c>
      <c r="R24" s="528">
        <f t="shared" si="5"/>
      </c>
      <c r="S24" s="529" t="str">
        <f t="shared" si="1"/>
        <v>No</v>
      </c>
      <c r="T24" s="526" t="str">
        <f t="shared" si="6"/>
        <v>MEC&lt;C   B&lt;=C</v>
      </c>
    </row>
    <row r="25" spans="1:20" ht="12.75">
      <c r="A25" s="433">
        <f>Criteria!A31</f>
        <v>21</v>
      </c>
      <c r="B25" s="238" t="str">
        <f>Criteria!B31</f>
        <v>Carbon Tetrachloride</v>
      </c>
      <c r="C25" s="61">
        <f>Criteria!E31</f>
        <v>4.4</v>
      </c>
      <c r="D25" s="67" t="str">
        <f>IF(RPAinput!C27="","",RPAinput!C27)</f>
        <v>Y</v>
      </c>
      <c r="E25" s="67" t="str">
        <f>IF(RPAinput!D27="","",RPAinput!D27)</f>
        <v>Y</v>
      </c>
      <c r="F25" s="67">
        <f>IF(RPAinput!E27="","",RPAinput!E27)</f>
        <v>0.06</v>
      </c>
      <c r="G25" s="67">
        <f>IF(RPAinput!F27="","",RPAinput!F27)</f>
      </c>
      <c r="H25" s="532" t="str">
        <f t="shared" si="2"/>
        <v>All ND &amp; MinDL&lt;C, MEC=MDL</v>
      </c>
      <c r="I25" s="531">
        <f t="shared" si="3"/>
        <v>0.06</v>
      </c>
      <c r="J25" s="531" t="str">
        <f t="shared" si="4"/>
        <v>MEC&lt;C</v>
      </c>
      <c r="K25" s="68"/>
      <c r="L25" s="67" t="str">
        <f>IF(RPAinput!I27="","",RPAinput!I27)</f>
        <v>Y</v>
      </c>
      <c r="M25" s="67" t="str">
        <f>IF(RPAinput!J27="","",RPAinput!J27)</f>
        <v>N</v>
      </c>
      <c r="N25" s="67">
        <f>IF(RPAinput!K27="","",RPAinput!K27)</f>
      </c>
      <c r="O25" s="528">
        <f>IF(RPAinput!L27="","",RPAinput!L27)</f>
        <v>0.06</v>
      </c>
      <c r="P25" s="530" t="str">
        <f t="shared" si="7"/>
        <v>B&lt;=C</v>
      </c>
      <c r="Q25" s="67" t="str">
        <f>RPAinput!Q27</f>
        <v>No</v>
      </c>
      <c r="R25" s="528">
        <f t="shared" si="5"/>
      </c>
      <c r="S25" s="529" t="str">
        <f t="shared" si="1"/>
        <v>No</v>
      </c>
      <c r="T25" s="526" t="str">
        <f t="shared" si="6"/>
        <v>MEC&lt;C   B&lt;=C</v>
      </c>
    </row>
    <row r="26" spans="1:20" ht="12.75">
      <c r="A26" s="433">
        <f>Criteria!A32</f>
        <v>22</v>
      </c>
      <c r="B26" s="238" t="str">
        <f>Criteria!B32</f>
        <v>Chlorobenzene</v>
      </c>
      <c r="C26" s="57">
        <f>Criteria!E32</f>
        <v>21000</v>
      </c>
      <c r="D26" s="67" t="str">
        <f>IF(RPAinput!C28="","",RPAinput!C28)</f>
        <v>Y</v>
      </c>
      <c r="E26" s="67" t="str">
        <f>IF(RPAinput!D28="","",RPAinput!D28)</f>
        <v>Y</v>
      </c>
      <c r="F26" s="67">
        <f>IF(RPAinput!E28="","",RPAinput!E28)</f>
        <v>0.06</v>
      </c>
      <c r="G26" s="67">
        <f>IF(RPAinput!F28="","",RPAinput!F28)</f>
      </c>
      <c r="H26" s="532" t="str">
        <f t="shared" si="2"/>
        <v>All ND &amp; MinDL&lt;C, MEC=MDL</v>
      </c>
      <c r="I26" s="531">
        <f t="shared" si="3"/>
        <v>0.06</v>
      </c>
      <c r="J26" s="531" t="str">
        <f t="shared" si="4"/>
        <v>MEC&lt;C</v>
      </c>
      <c r="K26" s="68"/>
      <c r="L26" s="67" t="str">
        <f>IF(RPAinput!I28="","",RPAinput!I28)</f>
        <v>Y</v>
      </c>
      <c r="M26" s="67" t="str">
        <f>IF(RPAinput!J28="","",RPAinput!J28)</f>
        <v>Y</v>
      </c>
      <c r="N26" s="67">
        <f>IF(RPAinput!K28="","",RPAinput!K28)</f>
        <v>0.5</v>
      </c>
      <c r="O26" s="528">
        <f>IF(RPAinput!L28="","",RPAinput!L28)</f>
      </c>
      <c r="P26" s="530" t="str">
        <f t="shared" si="7"/>
        <v>B&lt;=C</v>
      </c>
      <c r="Q26" s="67" t="str">
        <f>RPAinput!Q28</f>
        <v>No</v>
      </c>
      <c r="R26" s="528">
        <f t="shared" si="5"/>
      </c>
      <c r="S26" s="529" t="str">
        <f t="shared" si="1"/>
        <v>No</v>
      </c>
      <c r="T26" s="526" t="str">
        <f t="shared" si="6"/>
        <v>MEC&lt;C   B&lt;=C</v>
      </c>
    </row>
    <row r="27" spans="1:20" ht="12.75">
      <c r="A27" s="433">
        <f>Criteria!A33</f>
        <v>23</v>
      </c>
      <c r="B27" s="238" t="str">
        <f>Criteria!B33</f>
        <v>Chlordibromomethane</v>
      </c>
      <c r="C27" s="57">
        <f>Criteria!E33</f>
        <v>34</v>
      </c>
      <c r="D27" s="67" t="str">
        <f>IF(RPAinput!C29="","",RPAinput!C29)</f>
        <v>Y</v>
      </c>
      <c r="E27" s="67" t="str">
        <f>IF(RPAinput!D29="","",RPAinput!D29)</f>
        <v>N</v>
      </c>
      <c r="F27" s="67">
        <f>IF(RPAinput!E29="","",RPAinput!E29)</f>
      </c>
      <c r="G27" s="67">
        <f>IF(RPAinput!F29="","",RPAinput!F29)</f>
        <v>14</v>
      </c>
      <c r="H27" s="532">
        <f t="shared" si="2"/>
      </c>
      <c r="I27" s="531">
        <f t="shared" si="3"/>
        <v>14</v>
      </c>
      <c r="J27" s="531" t="str">
        <f t="shared" si="4"/>
        <v>MEC&lt;C</v>
      </c>
      <c r="K27" s="68"/>
      <c r="L27" s="67" t="str">
        <f>IF(RPAinput!I29="","",RPAinput!I29)</f>
        <v>Y</v>
      </c>
      <c r="M27" s="67" t="str">
        <f>IF(RPAinput!J29="","",RPAinput!J29)</f>
        <v>Y</v>
      </c>
      <c r="N27" s="67">
        <f>IF(RPAinput!K29="","",RPAinput!K29)</f>
        <v>0.05</v>
      </c>
      <c r="O27" s="528">
        <f>IF(RPAinput!L29="","",RPAinput!L29)</f>
      </c>
      <c r="P27" s="530" t="str">
        <f t="shared" si="7"/>
        <v>B&lt;=C</v>
      </c>
      <c r="Q27" s="67" t="str">
        <f>RPAinput!Q29</f>
        <v>No</v>
      </c>
      <c r="R27" s="528">
        <f t="shared" si="5"/>
      </c>
      <c r="S27" s="529" t="str">
        <f t="shared" si="1"/>
        <v>No</v>
      </c>
      <c r="T27" s="526" t="str">
        <f t="shared" si="6"/>
        <v>MEC&lt;C   B&lt;=C</v>
      </c>
    </row>
    <row r="28" spans="1:20" ht="12.75">
      <c r="A28" s="433">
        <f>Criteria!A34</f>
        <v>24</v>
      </c>
      <c r="B28" s="238" t="str">
        <f>Criteria!B34</f>
        <v>Chloroethane</v>
      </c>
      <c r="C28" s="57" t="str">
        <f>Criteria!E34</f>
        <v>No Criteria</v>
      </c>
      <c r="D28" s="67" t="str">
        <f>IF(RPAinput!C30="","",RPAinput!C30)</f>
        <v>Y</v>
      </c>
      <c r="E28" s="67" t="str">
        <f>IF(RPAinput!D30="","",RPAinput!D30)</f>
        <v>Y</v>
      </c>
      <c r="F28" s="67">
        <f>IF(RPAinput!E30="","",RPAinput!E30)</f>
        <v>0.07</v>
      </c>
      <c r="G28" s="67">
        <f>IF(RPAinput!F30="","",RPAinput!F30)</f>
      </c>
      <c r="H28" s="532" t="str">
        <f t="shared" si="2"/>
        <v>No Criteria</v>
      </c>
      <c r="I28" s="531" t="str">
        <f t="shared" si="3"/>
        <v>No Criteria</v>
      </c>
      <c r="J28" s="531" t="str">
        <f t="shared" si="4"/>
        <v>No Criteria</v>
      </c>
      <c r="K28" s="68"/>
      <c r="L28" s="67" t="str">
        <f>IF(RPAinput!I30="","",RPAinput!I30)</f>
        <v>Y</v>
      </c>
      <c r="M28" s="67" t="str">
        <f>IF(RPAinput!J30="","",RPAinput!J30)</f>
        <v>Y</v>
      </c>
      <c r="N28" s="67">
        <f>IF(RPAinput!K30="","",RPAinput!K30)</f>
        <v>0.5</v>
      </c>
      <c r="O28" s="528">
        <f>IF(RPAinput!L30="","",RPAinput!L30)</f>
      </c>
      <c r="P28" s="530" t="str">
        <f t="shared" si="7"/>
        <v>No Criteria</v>
      </c>
      <c r="Q28" s="67" t="str">
        <f>RPAinput!Q30</f>
        <v>No</v>
      </c>
      <c r="R28" s="528">
        <f t="shared" si="5"/>
      </c>
      <c r="S28" s="529" t="str">
        <f t="shared" si="1"/>
        <v>Uo</v>
      </c>
      <c r="T28" s="526" t="str">
        <f t="shared" si="6"/>
        <v>No Criteria</v>
      </c>
    </row>
    <row r="29" spans="1:20" ht="12.75">
      <c r="A29" s="433">
        <f>Criteria!A35</f>
        <v>25</v>
      </c>
      <c r="B29" s="238" t="str">
        <f>Criteria!B35</f>
        <v>2-Chloroethylvinyl Ether</v>
      </c>
      <c r="C29" s="57" t="str">
        <f>Criteria!E35</f>
        <v>No Criteria</v>
      </c>
      <c r="D29" s="67" t="str">
        <f>IF(RPAinput!C31="","",RPAinput!C31)</f>
        <v>Y</v>
      </c>
      <c r="E29" s="67" t="str">
        <f>IF(RPAinput!D31="","",RPAinput!D31)</f>
        <v>Y</v>
      </c>
      <c r="F29" s="67">
        <f>IF(RPAinput!E31="","",RPAinput!E31)</f>
        <v>0.1</v>
      </c>
      <c r="G29" s="67">
        <f>IF(RPAinput!F31="","",RPAinput!F31)</f>
      </c>
      <c r="H29" s="532" t="str">
        <f t="shared" si="2"/>
        <v>No Criteria</v>
      </c>
      <c r="I29" s="531" t="str">
        <f t="shared" si="3"/>
        <v>No Criteria</v>
      </c>
      <c r="J29" s="531" t="str">
        <f t="shared" si="4"/>
        <v>No Criteria</v>
      </c>
      <c r="K29" s="68"/>
      <c r="L29" s="67" t="str">
        <f>IF(RPAinput!I31="","",RPAinput!I31)</f>
        <v>Y</v>
      </c>
      <c r="M29" s="67" t="str">
        <f>IF(RPAinput!J31="","",RPAinput!J31)</f>
        <v>Y</v>
      </c>
      <c r="N29" s="67">
        <f>IF(RPAinput!K31="","",RPAinput!K31)</f>
        <v>0.5</v>
      </c>
      <c r="O29" s="528">
        <f>IF(RPAinput!L31="","",RPAinput!L31)</f>
      </c>
      <c r="P29" s="530" t="str">
        <f t="shared" si="7"/>
        <v>No Criteria</v>
      </c>
      <c r="Q29" s="67" t="str">
        <f>RPAinput!Q31</f>
        <v>No</v>
      </c>
      <c r="R29" s="528">
        <f t="shared" si="5"/>
      </c>
      <c r="S29" s="529" t="str">
        <f t="shared" si="1"/>
        <v>Uo</v>
      </c>
      <c r="T29" s="526" t="str">
        <f t="shared" si="6"/>
        <v>No Criteria</v>
      </c>
    </row>
    <row r="30" spans="1:20" ht="12.75">
      <c r="A30" s="433">
        <f>Criteria!A36</f>
        <v>26</v>
      </c>
      <c r="B30" s="238" t="str">
        <f>Criteria!B36</f>
        <v>Chloroform</v>
      </c>
      <c r="C30" s="57" t="str">
        <f>Criteria!E36</f>
        <v>No Criteria</v>
      </c>
      <c r="D30" s="67" t="str">
        <f>IF(RPAinput!C32="","",RPAinput!C32)</f>
        <v>Y</v>
      </c>
      <c r="E30" s="67" t="str">
        <f>IF(RPAinput!D32="","",RPAinput!D32)</f>
        <v>N</v>
      </c>
      <c r="F30" s="67">
        <f>IF(RPAinput!E32="","",RPAinput!E32)</f>
      </c>
      <c r="G30" s="67">
        <f>IF(RPAinput!F32="","",RPAinput!F32)</f>
        <v>29</v>
      </c>
      <c r="H30" s="532" t="str">
        <f t="shared" si="2"/>
        <v>No Criteria</v>
      </c>
      <c r="I30" s="531" t="str">
        <f t="shared" si="3"/>
        <v>No Criteria</v>
      </c>
      <c r="J30" s="531" t="str">
        <f t="shared" si="4"/>
        <v>No Criteria</v>
      </c>
      <c r="K30" s="68"/>
      <c r="L30" s="67" t="str">
        <f>IF(RPAinput!I32="","",RPAinput!I32)</f>
        <v>Y</v>
      </c>
      <c r="M30" s="67" t="str">
        <f>IF(RPAinput!J32="","",RPAinput!J32)</f>
        <v>Y</v>
      </c>
      <c r="N30" s="67">
        <f>IF(RPAinput!K32="","",RPAinput!K32)</f>
        <v>0.5</v>
      </c>
      <c r="O30" s="528">
        <f>IF(RPAinput!L32="","",RPAinput!L32)</f>
      </c>
      <c r="P30" s="530" t="str">
        <f t="shared" si="7"/>
        <v>No Criteria</v>
      </c>
      <c r="Q30" s="67" t="str">
        <f>RPAinput!Q32</f>
        <v>No</v>
      </c>
      <c r="R30" s="528">
        <f t="shared" si="5"/>
      </c>
      <c r="S30" s="529" t="str">
        <f t="shared" si="1"/>
        <v>Uo</v>
      </c>
      <c r="T30" s="526" t="str">
        <f t="shared" si="6"/>
        <v>No Criteria</v>
      </c>
    </row>
    <row r="31" spans="1:20" ht="12.75">
      <c r="A31" s="433">
        <f>Criteria!A37</f>
        <v>27</v>
      </c>
      <c r="B31" s="238" t="str">
        <f>Criteria!B37</f>
        <v>Dichlorobromomethane</v>
      </c>
      <c r="C31" s="57">
        <f>Criteria!E37</f>
        <v>46</v>
      </c>
      <c r="D31" s="67" t="str">
        <f>IF(RPAinput!C33="","",RPAinput!C33)</f>
        <v>Y</v>
      </c>
      <c r="E31" s="67" t="str">
        <f>IF(RPAinput!D33="","",RPAinput!D33)</f>
        <v>N</v>
      </c>
      <c r="F31" s="67">
        <f>IF(RPAinput!E33="","",RPAinput!E33)</f>
      </c>
      <c r="G31" s="67">
        <f>IF(RPAinput!F33="","",RPAinput!F33)</f>
        <v>20</v>
      </c>
      <c r="H31" s="532">
        <f t="shared" si="2"/>
      </c>
      <c r="I31" s="531">
        <f t="shared" si="3"/>
        <v>20</v>
      </c>
      <c r="J31" s="531" t="str">
        <f t="shared" si="4"/>
        <v>MEC&lt;C</v>
      </c>
      <c r="K31" s="68"/>
      <c r="L31" s="67" t="str">
        <f>IF(RPAinput!I33="","",RPAinput!I33)</f>
        <v>Y</v>
      </c>
      <c r="M31" s="67" t="str">
        <f>IF(RPAinput!J33="","",RPAinput!J33)</f>
        <v>Y</v>
      </c>
      <c r="N31" s="67">
        <f>IF(RPAinput!K33="","",RPAinput!K33)</f>
        <v>0.05</v>
      </c>
      <c r="O31" s="528">
        <f>IF(RPAinput!L33="","",RPAinput!L33)</f>
      </c>
      <c r="P31" s="530" t="str">
        <f t="shared" si="7"/>
        <v>B&lt;=C</v>
      </c>
      <c r="Q31" s="67" t="str">
        <f>RPAinput!Q33</f>
        <v>No</v>
      </c>
      <c r="R31" s="528">
        <f t="shared" si="5"/>
      </c>
      <c r="S31" s="529" t="str">
        <f t="shared" si="1"/>
        <v>No</v>
      </c>
      <c r="T31" s="526" t="str">
        <f t="shared" si="6"/>
        <v>MEC&lt;C   B&lt;=C</v>
      </c>
    </row>
    <row r="32" spans="1:20" ht="12.75">
      <c r="A32" s="433">
        <f>Criteria!A38</f>
        <v>28</v>
      </c>
      <c r="B32" s="238" t="str">
        <f>Criteria!B38</f>
        <v>1,1-Dichloroethane</v>
      </c>
      <c r="C32" s="57" t="str">
        <f>Criteria!E38</f>
        <v>No Criteria</v>
      </c>
      <c r="D32" s="67" t="str">
        <f>IF(RPAinput!C34="","",RPAinput!C34)</f>
        <v>Y</v>
      </c>
      <c r="E32" s="67" t="str">
        <f>IF(RPAinput!D34="","",RPAinput!D34)</f>
        <v>Y</v>
      </c>
      <c r="F32" s="67">
        <f>IF(RPAinput!E34="","",RPAinput!E34)</f>
        <v>0.05</v>
      </c>
      <c r="G32" s="67">
        <f>IF(RPAinput!F34="","",RPAinput!F34)</f>
      </c>
      <c r="H32" s="532" t="str">
        <f t="shared" si="2"/>
        <v>No Criteria</v>
      </c>
      <c r="I32" s="531" t="str">
        <f t="shared" si="3"/>
        <v>No Criteria</v>
      </c>
      <c r="J32" s="531" t="str">
        <f t="shared" si="4"/>
        <v>No Criteria</v>
      </c>
      <c r="K32" s="68"/>
      <c r="L32" s="67" t="str">
        <f>IF(RPAinput!I34="","",RPAinput!I34)</f>
        <v>Y</v>
      </c>
      <c r="M32" s="67" t="str">
        <f>IF(RPAinput!J34="","",RPAinput!J34)</f>
        <v>Y</v>
      </c>
      <c r="N32" s="67">
        <f>IF(RPAinput!K34="","",RPAinput!K34)</f>
        <v>0.05</v>
      </c>
      <c r="O32" s="528">
        <f>IF(RPAinput!L34="","",RPAinput!L34)</f>
      </c>
      <c r="P32" s="530" t="str">
        <f t="shared" si="7"/>
        <v>No Criteria</v>
      </c>
      <c r="Q32" s="67" t="str">
        <f>RPAinput!Q34</f>
        <v>No</v>
      </c>
      <c r="R32" s="528">
        <f t="shared" si="5"/>
      </c>
      <c r="S32" s="529" t="str">
        <f t="shared" si="1"/>
        <v>Uo</v>
      </c>
      <c r="T32" s="526" t="str">
        <f t="shared" si="6"/>
        <v>No Criteria</v>
      </c>
    </row>
    <row r="33" spans="1:20" ht="12.75">
      <c r="A33" s="433">
        <f>Criteria!A39</f>
        <v>29</v>
      </c>
      <c r="B33" s="238" t="str">
        <f>Criteria!B39</f>
        <v>1,2-Dichloroethane</v>
      </c>
      <c r="C33" s="57">
        <f>Criteria!E39</f>
        <v>99</v>
      </c>
      <c r="D33" s="67" t="str">
        <f>IF(RPAinput!C35="","",RPAinput!C35)</f>
        <v>Y</v>
      </c>
      <c r="E33" s="67" t="str">
        <f>IF(RPAinput!D35="","",RPAinput!D35)</f>
        <v>Y</v>
      </c>
      <c r="F33" s="67">
        <f>IF(RPAinput!E35="","",RPAinput!E35)</f>
        <v>0.06</v>
      </c>
      <c r="G33" s="67">
        <f>IF(RPAinput!F35="","",RPAinput!F35)</f>
      </c>
      <c r="H33" s="532" t="str">
        <f t="shared" si="2"/>
        <v>All ND &amp; MinDL&lt;C, MEC=MDL</v>
      </c>
      <c r="I33" s="531">
        <f t="shared" si="3"/>
        <v>0.06</v>
      </c>
      <c r="J33" s="531" t="str">
        <f t="shared" si="4"/>
        <v>MEC&lt;C</v>
      </c>
      <c r="K33" s="68"/>
      <c r="L33" s="67" t="str">
        <f>IF(RPAinput!I35="","",RPAinput!I35)</f>
        <v>Y</v>
      </c>
      <c r="M33" s="67" t="str">
        <f>IF(RPAinput!J35="","",RPAinput!J35)</f>
        <v>N</v>
      </c>
      <c r="N33" s="67">
        <f>IF(RPAinput!K35="","",RPAinput!K35)</f>
      </c>
      <c r="O33" s="528">
        <f>IF(RPAinput!L35="","",RPAinput!L35)</f>
        <v>0.04</v>
      </c>
      <c r="P33" s="530" t="str">
        <f t="shared" si="7"/>
        <v>B&lt;=C</v>
      </c>
      <c r="Q33" s="67" t="str">
        <f>RPAinput!Q35</f>
        <v>No</v>
      </c>
      <c r="R33" s="528">
        <f t="shared" si="5"/>
      </c>
      <c r="S33" s="529" t="str">
        <f t="shared" si="1"/>
        <v>No</v>
      </c>
      <c r="T33" s="526" t="str">
        <f t="shared" si="6"/>
        <v>MEC&lt;C   B&lt;=C</v>
      </c>
    </row>
    <row r="34" spans="1:20" ht="12.75">
      <c r="A34" s="433">
        <f>Criteria!A40</f>
        <v>30</v>
      </c>
      <c r="B34" s="238" t="str">
        <f>Criteria!B40</f>
        <v>1,1-Dichloroethylene</v>
      </c>
      <c r="C34" s="61">
        <f>Criteria!E40</f>
        <v>3.2</v>
      </c>
      <c r="D34" s="67" t="str">
        <f>IF(RPAinput!C36="","",RPAinput!C36)</f>
        <v>Y</v>
      </c>
      <c r="E34" s="67" t="str">
        <f>IF(RPAinput!D36="","",RPAinput!D36)</f>
        <v>Y</v>
      </c>
      <c r="F34" s="67">
        <f>IF(RPAinput!E36="","",RPAinput!E36)</f>
        <v>0.06</v>
      </c>
      <c r="G34" s="67">
        <f>IF(RPAinput!F36="","",RPAinput!F36)</f>
      </c>
      <c r="H34" s="532" t="str">
        <f t="shared" si="2"/>
        <v>All ND &amp; MinDL&lt;C, MEC=MDL</v>
      </c>
      <c r="I34" s="531">
        <f t="shared" si="3"/>
        <v>0.06</v>
      </c>
      <c r="J34" s="531" t="str">
        <f t="shared" si="4"/>
        <v>MEC&lt;C</v>
      </c>
      <c r="K34" s="68"/>
      <c r="L34" s="67" t="str">
        <f>IF(RPAinput!I36="","",RPAinput!I36)</f>
        <v>Y</v>
      </c>
      <c r="M34" s="67" t="str">
        <f>IF(RPAinput!J36="","",RPAinput!J36)</f>
        <v>Y</v>
      </c>
      <c r="N34" s="67">
        <f>IF(RPAinput!K36="","",RPAinput!K36)</f>
        <v>0.5</v>
      </c>
      <c r="O34" s="528">
        <f>IF(RPAinput!L36="","",RPAinput!L36)</f>
      </c>
      <c r="P34" s="530" t="str">
        <f t="shared" si="7"/>
        <v>B&lt;=C</v>
      </c>
      <c r="Q34" s="67" t="str">
        <f>RPAinput!Q36</f>
        <v>No</v>
      </c>
      <c r="R34" s="528">
        <f t="shared" si="5"/>
      </c>
      <c r="S34" s="529" t="str">
        <f t="shared" si="1"/>
        <v>No</v>
      </c>
      <c r="T34" s="526" t="str">
        <f t="shared" si="6"/>
        <v>MEC&lt;C   B&lt;=C</v>
      </c>
    </row>
    <row r="35" spans="1:20" ht="12.75">
      <c r="A35" s="433">
        <f>Criteria!A41</f>
        <v>31</v>
      </c>
      <c r="B35" s="238" t="str">
        <f>Criteria!B41</f>
        <v>1,2-Dichloropropane</v>
      </c>
      <c r="C35" s="57">
        <f>Criteria!E41</f>
        <v>39</v>
      </c>
      <c r="D35" s="67" t="str">
        <f>IF(RPAinput!C37="","",RPAinput!C37)</f>
        <v>Y</v>
      </c>
      <c r="E35" s="67" t="str">
        <f>IF(RPAinput!D37="","",RPAinput!D37)</f>
        <v>Y</v>
      </c>
      <c r="F35" s="67">
        <f>IF(RPAinput!E37="","",RPAinput!E37)</f>
        <v>0.05</v>
      </c>
      <c r="G35" s="67">
        <f>IF(RPAinput!F37="","",RPAinput!F37)</f>
      </c>
      <c r="H35" s="532" t="str">
        <f t="shared" si="2"/>
        <v>All ND &amp; MinDL&lt;C, MEC=MDL</v>
      </c>
      <c r="I35" s="531">
        <f t="shared" si="3"/>
        <v>0.05</v>
      </c>
      <c r="J35" s="531" t="str">
        <f t="shared" si="4"/>
        <v>MEC&lt;C</v>
      </c>
      <c r="K35" s="68"/>
      <c r="L35" s="67" t="str">
        <f>IF(RPAinput!I37="","",RPAinput!I37)</f>
        <v>Y</v>
      </c>
      <c r="M35" s="67" t="str">
        <f>IF(RPAinput!J37="","",RPAinput!J37)</f>
        <v>Y</v>
      </c>
      <c r="N35" s="67">
        <f>IF(RPAinput!K37="","",RPAinput!K37)</f>
        <v>0.05</v>
      </c>
      <c r="O35" s="528">
        <f>IF(RPAinput!L37="","",RPAinput!L37)</f>
      </c>
      <c r="P35" s="530" t="str">
        <f t="shared" si="7"/>
        <v>B&lt;=C</v>
      </c>
      <c r="Q35" s="67" t="str">
        <f>RPAinput!Q37</f>
        <v>No</v>
      </c>
      <c r="R35" s="528">
        <f t="shared" si="5"/>
      </c>
      <c r="S35" s="529" t="str">
        <f t="shared" si="1"/>
        <v>No</v>
      </c>
      <c r="T35" s="526" t="str">
        <f t="shared" si="6"/>
        <v>MEC&lt;C   B&lt;=C</v>
      </c>
    </row>
    <row r="36" spans="1:20" ht="12.75">
      <c r="A36" s="433">
        <f>Criteria!A42</f>
        <v>32</v>
      </c>
      <c r="B36" s="238" t="str">
        <f>Criteria!B42</f>
        <v>1,3-Dichloropropylene</v>
      </c>
      <c r="C36" s="57">
        <f>Criteria!E42</f>
        <v>1700</v>
      </c>
      <c r="D36" s="67" t="str">
        <f>IF(RPAinput!C38="","",RPAinput!C38)</f>
        <v>Y</v>
      </c>
      <c r="E36" s="67" t="str">
        <f>IF(RPAinput!D38="","",RPAinput!D38)</f>
        <v>Y</v>
      </c>
      <c r="F36" s="67">
        <f>IF(RPAinput!E38="","",RPAinput!E38)</f>
        <v>0.06</v>
      </c>
      <c r="G36" s="67">
        <f>IF(RPAinput!F38="","",RPAinput!F38)</f>
      </c>
      <c r="H36" s="532" t="str">
        <f t="shared" si="2"/>
        <v>All ND &amp; MinDL&lt;C, MEC=MDL</v>
      </c>
      <c r="I36" s="531">
        <f t="shared" si="3"/>
        <v>0.06</v>
      </c>
      <c r="J36" s="531" t="str">
        <f t="shared" si="4"/>
        <v>MEC&lt;C</v>
      </c>
      <c r="K36" s="68"/>
      <c r="L36" s="67" t="str">
        <f>IF(RPAinput!I38="","",RPAinput!I38)</f>
        <v>Y</v>
      </c>
      <c r="M36" s="67" t="str">
        <f>IF(RPAinput!J38="","",RPAinput!J38)</f>
        <v>Y</v>
      </c>
      <c r="N36" s="67">
        <f>IF(RPAinput!K38="","",RPAinput!K38)</f>
        <v>0.2</v>
      </c>
      <c r="O36" s="528">
        <f>IF(RPAinput!L38="","",RPAinput!L38)</f>
      </c>
      <c r="P36" s="530" t="str">
        <f t="shared" si="7"/>
        <v>B&lt;=C</v>
      </c>
      <c r="Q36" s="67" t="str">
        <f>RPAinput!Q38</f>
        <v>No</v>
      </c>
      <c r="R36" s="528">
        <f t="shared" si="5"/>
      </c>
      <c r="S36" s="529" t="str">
        <f aca="true" t="shared" si="8" ref="S36:S67">IF(C36="No Criteria","Uo",IF(OR(LEFT(J36,4)="Need",LEFT(P36,4)="Need",Q36="Yes"),"Yes",IF(OR(D36="N",L36="N",AND(E36="Y",F36&gt;C36)),"Ud","No")))</f>
        <v>No</v>
      </c>
      <c r="T36" s="526" t="str">
        <f t="shared" si="6"/>
        <v>MEC&lt;C   B&lt;=C</v>
      </c>
    </row>
    <row r="37" spans="1:20" ht="12.75">
      <c r="A37" s="433">
        <f>Criteria!A43</f>
        <v>33</v>
      </c>
      <c r="B37" s="238" t="str">
        <f>Criteria!B43</f>
        <v>Ethylbenzene</v>
      </c>
      <c r="C37" s="57">
        <f>Criteria!E43</f>
        <v>29000</v>
      </c>
      <c r="D37" s="67" t="str">
        <f>IF(RPAinput!C39="","",RPAinput!C39)</f>
        <v>Y</v>
      </c>
      <c r="E37" s="67" t="str">
        <f>IF(RPAinput!D39="","",RPAinput!D39)</f>
        <v>Y</v>
      </c>
      <c r="F37" s="67">
        <f>IF(RPAinput!E39="","",RPAinput!E39)</f>
        <v>0.06</v>
      </c>
      <c r="G37" s="67">
        <f>IF(RPAinput!F39="","",RPAinput!F39)</f>
      </c>
      <c r="H37" s="532" t="str">
        <f t="shared" si="2"/>
        <v>All ND &amp; MinDL&lt;C, MEC=MDL</v>
      </c>
      <c r="I37" s="531">
        <f t="shared" si="3"/>
        <v>0.06</v>
      </c>
      <c r="J37" s="531" t="str">
        <f t="shared" si="4"/>
        <v>MEC&lt;C</v>
      </c>
      <c r="K37" s="68"/>
      <c r="L37" s="67" t="str">
        <f>IF(RPAinput!I39="","",RPAinput!I39)</f>
        <v>Y</v>
      </c>
      <c r="M37" s="67" t="str">
        <f>IF(RPAinput!J39="","",RPAinput!J39)</f>
        <v>Y</v>
      </c>
      <c r="N37" s="67">
        <f>IF(RPAinput!K39="","",RPAinput!K39)</f>
        <v>0.5</v>
      </c>
      <c r="O37" s="528">
        <f>IF(RPAinput!L39="","",RPAinput!L39)</f>
      </c>
      <c r="P37" s="530" t="str">
        <f t="shared" si="7"/>
        <v>B&lt;=C</v>
      </c>
      <c r="Q37" s="67" t="str">
        <f>RPAinput!Q39</f>
        <v>No</v>
      </c>
      <c r="R37" s="528">
        <f t="shared" si="5"/>
      </c>
      <c r="S37" s="529" t="str">
        <f t="shared" si="8"/>
        <v>No</v>
      </c>
      <c r="T37" s="526" t="str">
        <f t="shared" si="6"/>
        <v>MEC&lt;C   B&lt;=C</v>
      </c>
    </row>
    <row r="38" spans="1:20" ht="12.75">
      <c r="A38" s="433">
        <f>Criteria!A44</f>
        <v>34</v>
      </c>
      <c r="B38" s="238" t="str">
        <f>Criteria!B44</f>
        <v>Methyl Bromide</v>
      </c>
      <c r="C38" s="57">
        <f>Criteria!E44</f>
        <v>4000</v>
      </c>
      <c r="D38" s="67" t="str">
        <f>IF(RPAinput!C40="","",RPAinput!C40)</f>
        <v>Y</v>
      </c>
      <c r="E38" s="67" t="str">
        <f>IF(RPAinput!D40="","",RPAinput!D40)</f>
        <v>N</v>
      </c>
      <c r="F38" s="67">
        <f>IF(RPAinput!E40="","",RPAinput!E40)</f>
      </c>
      <c r="G38" s="67">
        <f>IF(RPAinput!F40="","",RPAinput!F40)</f>
        <v>3.4</v>
      </c>
      <c r="H38" s="532">
        <f t="shared" si="2"/>
      </c>
      <c r="I38" s="531">
        <f t="shared" si="3"/>
        <v>3.4</v>
      </c>
      <c r="J38" s="531" t="str">
        <f t="shared" si="4"/>
        <v>MEC&lt;C</v>
      </c>
      <c r="K38" s="68"/>
      <c r="L38" s="67" t="str">
        <f>IF(RPAinput!I40="","",RPAinput!I40)</f>
        <v>Y</v>
      </c>
      <c r="M38" s="67" t="str">
        <f>IF(RPAinput!J40="","",RPAinput!J40)</f>
        <v>Y</v>
      </c>
      <c r="N38" s="67">
        <f>IF(RPAinput!K40="","",RPAinput!K40)</f>
        <v>0.5</v>
      </c>
      <c r="O38" s="528">
        <f>IF(RPAinput!L40="","",RPAinput!L40)</f>
      </c>
      <c r="P38" s="530" t="str">
        <f t="shared" si="7"/>
        <v>B&lt;=C</v>
      </c>
      <c r="Q38" s="67" t="str">
        <f>RPAinput!Q40</f>
        <v>No</v>
      </c>
      <c r="R38" s="528">
        <f t="shared" si="5"/>
      </c>
      <c r="S38" s="529" t="str">
        <f t="shared" si="8"/>
        <v>No</v>
      </c>
      <c r="T38" s="526" t="str">
        <f t="shared" si="6"/>
        <v>MEC&lt;C   B&lt;=C</v>
      </c>
    </row>
    <row r="39" spans="1:20" ht="12.75">
      <c r="A39" s="433">
        <f>Criteria!A45</f>
        <v>35</v>
      </c>
      <c r="B39" s="238" t="str">
        <f>Criteria!B45</f>
        <v>Methyl Chloride</v>
      </c>
      <c r="C39" s="57" t="str">
        <f>Criteria!E45</f>
        <v>No Criteria</v>
      </c>
      <c r="D39" s="67" t="str">
        <f>IF(RPAinput!C41="","",RPAinput!C41)</f>
        <v>Y</v>
      </c>
      <c r="E39" s="67" t="str">
        <f>IF(RPAinput!D41="","",RPAinput!D41)</f>
        <v>Y</v>
      </c>
      <c r="F39" s="67">
        <f>IF(RPAinput!E41="","",RPAinput!E41)</f>
        <v>0.04</v>
      </c>
      <c r="G39" s="67">
        <f>IF(RPAinput!F41="","",RPAinput!F41)</f>
      </c>
      <c r="H39" s="532" t="str">
        <f t="shared" si="2"/>
        <v>No Criteria</v>
      </c>
      <c r="I39" s="531" t="str">
        <f t="shared" si="3"/>
        <v>No Criteria</v>
      </c>
      <c r="J39" s="531" t="str">
        <f t="shared" si="4"/>
        <v>No Criteria</v>
      </c>
      <c r="K39" s="68"/>
      <c r="L39" s="67" t="str">
        <f>IF(RPAinput!I41="","",RPAinput!I41)</f>
        <v>Y</v>
      </c>
      <c r="M39" s="67" t="str">
        <f>IF(RPAinput!J41="","",RPAinput!J41)</f>
        <v>Y</v>
      </c>
      <c r="N39" s="67">
        <f>IF(RPAinput!K41="","",RPAinput!K41)</f>
        <v>0.5</v>
      </c>
      <c r="O39" s="528">
        <f>IF(RPAinput!L41="","",RPAinput!L41)</f>
      </c>
      <c r="P39" s="530" t="str">
        <f t="shared" si="7"/>
        <v>No Criteria</v>
      </c>
      <c r="Q39" s="67" t="str">
        <f>RPAinput!Q41</f>
        <v>No</v>
      </c>
      <c r="R39" s="528">
        <f t="shared" si="5"/>
      </c>
      <c r="S39" s="529" t="str">
        <f t="shared" si="8"/>
        <v>Uo</v>
      </c>
      <c r="T39" s="526" t="str">
        <f t="shared" si="6"/>
        <v>No Criteria</v>
      </c>
    </row>
    <row r="40" spans="1:20" ht="12.75">
      <c r="A40" s="433">
        <f>Criteria!A46</f>
        <v>36</v>
      </c>
      <c r="B40" s="238" t="str">
        <f>Criteria!B46</f>
        <v>Methylene Chloride</v>
      </c>
      <c r="C40" s="57">
        <f>Criteria!E46</f>
        <v>1600</v>
      </c>
      <c r="D40" s="67" t="str">
        <f>IF(RPAinput!C42="","",RPAinput!C42)</f>
        <v>Y</v>
      </c>
      <c r="E40" s="67" t="str">
        <f>IF(RPAinput!D42="","",RPAinput!D42)</f>
        <v>Y</v>
      </c>
      <c r="F40" s="67">
        <f>IF(RPAinput!E42="","",RPAinput!E42)</f>
        <v>0.07</v>
      </c>
      <c r="G40" s="67">
        <f>IF(RPAinput!F42="","",RPAinput!F42)</f>
      </c>
      <c r="H40" s="532" t="str">
        <f t="shared" si="2"/>
        <v>All ND &amp; MinDL&lt;C, MEC=MDL</v>
      </c>
      <c r="I40" s="531">
        <f t="shared" si="3"/>
        <v>0.07</v>
      </c>
      <c r="J40" s="531" t="str">
        <f t="shared" si="4"/>
        <v>MEC&lt;C</v>
      </c>
      <c r="K40" s="68"/>
      <c r="L40" s="67" t="str">
        <f>IF(RPAinput!I42="","",RPAinput!I42)</f>
        <v>Y</v>
      </c>
      <c r="M40" s="67" t="str">
        <f>IF(RPAinput!J42="","",RPAinput!J42)</f>
        <v>N</v>
      </c>
      <c r="N40" s="67">
        <f>IF(RPAinput!K42="","",RPAinput!K42)</f>
      </c>
      <c r="O40" s="528">
        <f>IF(RPAinput!L42="","",RPAinput!L42)</f>
        <v>0.5</v>
      </c>
      <c r="P40" s="530" t="str">
        <f t="shared" si="7"/>
        <v>B&lt;=C</v>
      </c>
      <c r="Q40" s="67" t="str">
        <f>RPAinput!Q42</f>
        <v>No</v>
      </c>
      <c r="R40" s="528">
        <f t="shared" si="5"/>
      </c>
      <c r="S40" s="529" t="str">
        <f t="shared" si="8"/>
        <v>No</v>
      </c>
      <c r="T40" s="526" t="str">
        <f t="shared" si="6"/>
        <v>MEC&lt;C   B&lt;=C</v>
      </c>
    </row>
    <row r="41" spans="1:20" ht="12.75">
      <c r="A41" s="433">
        <f>Criteria!A47</f>
        <v>37</v>
      </c>
      <c r="B41" s="238" t="str">
        <f>Criteria!B47</f>
        <v>1,1,2,2-Tetrachloroethane</v>
      </c>
      <c r="C41" s="57">
        <f>Criteria!E47</f>
        <v>11</v>
      </c>
      <c r="D41" s="67" t="str">
        <f>IF(RPAinput!C43="","",RPAinput!C43)</f>
        <v>Y</v>
      </c>
      <c r="E41" s="67" t="str">
        <f>IF(RPAinput!D43="","",RPAinput!D43)</f>
        <v>Y</v>
      </c>
      <c r="F41" s="67">
        <f>IF(RPAinput!E43="","",RPAinput!E43)</f>
        <v>0.06</v>
      </c>
      <c r="G41" s="67">
        <f>IF(RPAinput!F43="","",RPAinput!F43)</f>
      </c>
      <c r="H41" s="532" t="str">
        <f t="shared" si="2"/>
        <v>All ND &amp; MinDL&lt;C, MEC=MDL</v>
      </c>
      <c r="I41" s="531">
        <f t="shared" si="3"/>
        <v>0.06</v>
      </c>
      <c r="J41" s="531" t="str">
        <f t="shared" si="4"/>
        <v>MEC&lt;C</v>
      </c>
      <c r="K41" s="68"/>
      <c r="L41" s="67" t="str">
        <f>IF(RPAinput!I43="","",RPAinput!I43)</f>
        <v>Y</v>
      </c>
      <c r="M41" s="67" t="str">
        <f>IF(RPAinput!J43="","",RPAinput!J43)</f>
        <v>Y</v>
      </c>
      <c r="N41" s="67">
        <f>IF(RPAinput!K43="","",RPAinput!K43)</f>
        <v>0.05</v>
      </c>
      <c r="O41" s="528">
        <f>IF(RPAinput!L43="","",RPAinput!L43)</f>
      </c>
      <c r="P41" s="530" t="str">
        <f t="shared" si="7"/>
        <v>B&lt;=C</v>
      </c>
      <c r="Q41" s="67" t="str">
        <f>RPAinput!Q43</f>
        <v>No</v>
      </c>
      <c r="R41" s="528">
        <f t="shared" si="5"/>
      </c>
      <c r="S41" s="529" t="str">
        <f t="shared" si="8"/>
        <v>No</v>
      </c>
      <c r="T41" s="526" t="str">
        <f t="shared" si="6"/>
        <v>MEC&lt;C   B&lt;=C</v>
      </c>
    </row>
    <row r="42" spans="1:20" ht="12.75">
      <c r="A42" s="433">
        <f>Criteria!A48</f>
        <v>38</v>
      </c>
      <c r="B42" s="238" t="str">
        <f>Criteria!B48</f>
        <v>Tetrachloroethylene</v>
      </c>
      <c r="C42" s="59">
        <f>Criteria!E48</f>
        <v>8.85</v>
      </c>
      <c r="D42" s="67" t="str">
        <f>IF(RPAinput!C44="","",RPAinput!C44)</f>
        <v>Y</v>
      </c>
      <c r="E42" s="67" t="str">
        <f>IF(RPAinput!D44="","",RPAinput!D44)</f>
        <v>Y</v>
      </c>
      <c r="F42" s="67">
        <f>IF(RPAinput!E44="","",RPAinput!E44)</f>
        <v>0.06</v>
      </c>
      <c r="G42" s="67">
        <f>IF(RPAinput!F44="","",RPAinput!F44)</f>
      </c>
      <c r="H42" s="532" t="str">
        <f t="shared" si="2"/>
        <v>All ND &amp; MinDL&lt;C, MEC=MDL</v>
      </c>
      <c r="I42" s="531">
        <f t="shared" si="3"/>
        <v>0.06</v>
      </c>
      <c r="J42" s="531" t="str">
        <f t="shared" si="4"/>
        <v>MEC&lt;C</v>
      </c>
      <c r="K42" s="68"/>
      <c r="L42" s="67" t="str">
        <f>IF(RPAinput!I44="","",RPAinput!I44)</f>
        <v>Y</v>
      </c>
      <c r="M42" s="67" t="str">
        <f>IF(RPAinput!J44="","",RPAinput!J44)</f>
        <v>Y</v>
      </c>
      <c r="N42" s="67">
        <f>IF(RPAinput!K44="","",RPAinput!K44)</f>
        <v>0.05</v>
      </c>
      <c r="O42" s="528">
        <f>IF(RPAinput!L44="","",RPAinput!L44)</f>
      </c>
      <c r="P42" s="530" t="str">
        <f t="shared" si="7"/>
        <v>B&lt;=C</v>
      </c>
      <c r="Q42" s="67" t="str">
        <f>RPAinput!Q44</f>
        <v>No</v>
      </c>
      <c r="R42" s="528">
        <f t="shared" si="5"/>
      </c>
      <c r="S42" s="529" t="str">
        <f t="shared" si="8"/>
        <v>No</v>
      </c>
      <c r="T42" s="526" t="str">
        <f t="shared" si="6"/>
        <v>MEC&lt;C   B&lt;=C</v>
      </c>
    </row>
    <row r="43" spans="1:20" ht="12.75">
      <c r="A43" s="433">
        <f>Criteria!A49</f>
        <v>39</v>
      </c>
      <c r="B43" s="238" t="str">
        <f>Criteria!B49</f>
        <v>Toluene</v>
      </c>
      <c r="C43" s="57">
        <f>Criteria!E49</f>
        <v>200000</v>
      </c>
      <c r="D43" s="67" t="str">
        <f>IF(RPAinput!C45="","",RPAinput!C45)</f>
        <v>Y</v>
      </c>
      <c r="E43" s="67" t="str">
        <f>IF(RPAinput!D45="","",RPAinput!D45)</f>
        <v>N</v>
      </c>
      <c r="F43" s="67">
        <f>IF(RPAinput!E45="","",RPAinput!E45)</f>
      </c>
      <c r="G43" s="67">
        <f>IF(RPAinput!F45="","",RPAinput!F45)</f>
        <v>0.5</v>
      </c>
      <c r="H43" s="532">
        <f t="shared" si="2"/>
      </c>
      <c r="I43" s="531">
        <f t="shared" si="3"/>
        <v>0.5</v>
      </c>
      <c r="J43" s="531" t="str">
        <f t="shared" si="4"/>
        <v>MEC&lt;C</v>
      </c>
      <c r="K43" s="68"/>
      <c r="L43" s="67" t="str">
        <f>IF(RPAinput!I45="","",RPAinput!I45)</f>
        <v>Y</v>
      </c>
      <c r="M43" s="67" t="str">
        <f>IF(RPAinput!J45="","",RPAinput!J45)</f>
        <v>Y</v>
      </c>
      <c r="N43" s="67">
        <f>IF(RPAinput!K45="","",RPAinput!K45)</f>
        <v>0.3</v>
      </c>
      <c r="O43" s="528">
        <f>IF(RPAinput!L45="","",RPAinput!L45)</f>
      </c>
      <c r="P43" s="530" t="str">
        <f t="shared" si="7"/>
        <v>B&lt;=C</v>
      </c>
      <c r="Q43" s="67" t="str">
        <f>RPAinput!Q45</f>
        <v>No</v>
      </c>
      <c r="R43" s="528">
        <f t="shared" si="5"/>
      </c>
      <c r="S43" s="529" t="str">
        <f t="shared" si="8"/>
        <v>No</v>
      </c>
      <c r="T43" s="526" t="str">
        <f t="shared" si="6"/>
        <v>MEC&lt;C   B&lt;=C</v>
      </c>
    </row>
    <row r="44" spans="1:20" ht="12.75">
      <c r="A44" s="433">
        <f>Criteria!A50</f>
        <v>40</v>
      </c>
      <c r="B44" s="238" t="str">
        <f>Criteria!B50</f>
        <v>1,2-Trans-Dichloroethylene</v>
      </c>
      <c r="C44" s="57">
        <f>Criteria!E50</f>
        <v>140000</v>
      </c>
      <c r="D44" s="67" t="str">
        <f>IF(RPAinput!C46="","",RPAinput!C46)</f>
        <v>Y</v>
      </c>
      <c r="E44" s="67" t="str">
        <f>IF(RPAinput!D46="","",RPAinput!D46)</f>
        <v>Y</v>
      </c>
      <c r="F44" s="67">
        <f>IF(RPAinput!E46="","",RPAinput!E46)</f>
        <v>0.05</v>
      </c>
      <c r="G44" s="67">
        <f>IF(RPAinput!F46="","",RPAinput!F46)</f>
      </c>
      <c r="H44" s="532" t="str">
        <f t="shared" si="2"/>
        <v>All ND &amp; MinDL&lt;C, MEC=MDL</v>
      </c>
      <c r="I44" s="531">
        <f t="shared" si="3"/>
        <v>0.05</v>
      </c>
      <c r="J44" s="531" t="str">
        <f t="shared" si="4"/>
        <v>MEC&lt;C</v>
      </c>
      <c r="K44" s="68"/>
      <c r="L44" s="67" t="str">
        <f>IF(RPAinput!I46="","",RPAinput!I46)</f>
        <v>Y</v>
      </c>
      <c r="M44" s="67" t="str">
        <f>IF(RPAinput!J46="","",RPAinput!J46)</f>
        <v>Y</v>
      </c>
      <c r="N44" s="67">
        <f>IF(RPAinput!K46="","",RPAinput!K46)</f>
        <v>0.5</v>
      </c>
      <c r="O44" s="528">
        <f>IF(RPAinput!L46="","",RPAinput!L46)</f>
      </c>
      <c r="P44" s="530" t="str">
        <f t="shared" si="7"/>
        <v>B&lt;=C</v>
      </c>
      <c r="Q44" s="67" t="str">
        <f>RPAinput!Q46</f>
        <v>No</v>
      </c>
      <c r="R44" s="528">
        <f t="shared" si="5"/>
      </c>
      <c r="S44" s="529" t="str">
        <f t="shared" si="8"/>
        <v>No</v>
      </c>
      <c r="T44" s="526" t="str">
        <f t="shared" si="6"/>
        <v>MEC&lt;C   B&lt;=C</v>
      </c>
    </row>
    <row r="45" spans="1:20" ht="12.75">
      <c r="A45" s="433">
        <f>Criteria!A51</f>
        <v>41</v>
      </c>
      <c r="B45" s="238" t="str">
        <f>Criteria!B51</f>
        <v>1,1,1-Trichloroethane</v>
      </c>
      <c r="C45" s="57" t="str">
        <f>Criteria!E51</f>
        <v>No Criteria</v>
      </c>
      <c r="D45" s="67" t="str">
        <f>IF(RPAinput!C47="","",RPAinput!C47)</f>
        <v>Y</v>
      </c>
      <c r="E45" s="67" t="str">
        <f>IF(RPAinput!D47="","",RPAinput!D47)</f>
        <v>Y</v>
      </c>
      <c r="F45" s="67">
        <f>IF(RPAinput!E47="","",RPAinput!E47)</f>
        <v>0.06</v>
      </c>
      <c r="G45" s="67">
        <f>IF(RPAinput!F47="","",RPAinput!F47)</f>
      </c>
      <c r="H45" s="532" t="str">
        <f t="shared" si="2"/>
        <v>No Criteria</v>
      </c>
      <c r="I45" s="531" t="str">
        <f t="shared" si="3"/>
        <v>No Criteria</v>
      </c>
      <c r="J45" s="531" t="str">
        <f t="shared" si="4"/>
        <v>No Criteria</v>
      </c>
      <c r="K45" s="68"/>
      <c r="L45" s="67" t="str">
        <f>IF(RPAinput!I47="","",RPAinput!I47)</f>
        <v>Y</v>
      </c>
      <c r="M45" s="67" t="str">
        <f>IF(RPAinput!J47="","",RPAinput!J47)</f>
        <v>Y</v>
      </c>
      <c r="N45" s="67">
        <f>IF(RPAinput!K47="","",RPAinput!K47)</f>
        <v>0.5</v>
      </c>
      <c r="O45" s="528">
        <f>IF(RPAinput!L47="","",RPAinput!L47)</f>
      </c>
      <c r="P45" s="530" t="str">
        <f t="shared" si="7"/>
        <v>No Criteria</v>
      </c>
      <c r="Q45" s="67" t="str">
        <f>RPAinput!Q47</f>
        <v>No</v>
      </c>
      <c r="R45" s="528">
        <f t="shared" si="5"/>
      </c>
      <c r="S45" s="529" t="str">
        <f t="shared" si="8"/>
        <v>Uo</v>
      </c>
      <c r="T45" s="526" t="str">
        <f t="shared" si="6"/>
        <v>No Criteria</v>
      </c>
    </row>
    <row r="46" spans="1:20" ht="12.75">
      <c r="A46" s="433">
        <f>Criteria!A52</f>
        <v>42</v>
      </c>
      <c r="B46" s="238" t="str">
        <f>Criteria!B52</f>
        <v>1,1,2-Trichloroethane</v>
      </c>
      <c r="C46" s="57">
        <f>Criteria!E52</f>
        <v>42</v>
      </c>
      <c r="D46" s="67" t="str">
        <f>IF(RPAinput!C48="","",RPAinput!C48)</f>
        <v>Y</v>
      </c>
      <c r="E46" s="67" t="str">
        <f>IF(RPAinput!D48="","",RPAinput!D48)</f>
        <v>Y</v>
      </c>
      <c r="F46" s="67">
        <f>IF(RPAinput!E48="","",RPAinput!E48)</f>
        <v>0.07</v>
      </c>
      <c r="G46" s="67">
        <f>IF(RPAinput!F48="","",RPAinput!F48)</f>
      </c>
      <c r="H46" s="532" t="str">
        <f t="shared" si="2"/>
        <v>All ND &amp; MinDL&lt;C, MEC=MDL</v>
      </c>
      <c r="I46" s="531">
        <f t="shared" si="3"/>
        <v>0.07</v>
      </c>
      <c r="J46" s="531" t="str">
        <f t="shared" si="4"/>
        <v>MEC&lt;C</v>
      </c>
      <c r="K46" s="68"/>
      <c r="L46" s="67" t="str">
        <f>IF(RPAinput!I48="","",RPAinput!I48)</f>
        <v>Y</v>
      </c>
      <c r="M46" s="67" t="str">
        <f>IF(RPAinput!J48="","",RPAinput!J48)</f>
        <v>Y</v>
      </c>
      <c r="N46" s="67">
        <f>IF(RPAinput!K48="","",RPAinput!K48)</f>
        <v>0.05</v>
      </c>
      <c r="O46" s="528">
        <f>IF(RPAinput!L48="","",RPAinput!L48)</f>
      </c>
      <c r="P46" s="530" t="str">
        <f t="shared" si="7"/>
        <v>B&lt;=C</v>
      </c>
      <c r="Q46" s="67" t="str">
        <f>RPAinput!Q48</f>
        <v>No</v>
      </c>
      <c r="R46" s="528">
        <f t="shared" si="5"/>
      </c>
      <c r="S46" s="529" t="str">
        <f t="shared" si="8"/>
        <v>No</v>
      </c>
      <c r="T46" s="526" t="str">
        <f t="shared" si="6"/>
        <v>MEC&lt;C   B&lt;=C</v>
      </c>
    </row>
    <row r="47" spans="1:20" ht="12.75">
      <c r="A47" s="433">
        <f>Criteria!A53</f>
        <v>43</v>
      </c>
      <c r="B47" s="238" t="str">
        <f>Criteria!B53</f>
        <v>Trichloroethylene</v>
      </c>
      <c r="C47" s="57">
        <f>Criteria!E53</f>
        <v>81</v>
      </c>
      <c r="D47" s="67" t="str">
        <f>IF(RPAinput!C49="","",RPAinput!C49)</f>
        <v>Y</v>
      </c>
      <c r="E47" s="67" t="str">
        <f>IF(RPAinput!D49="","",RPAinput!D49)</f>
        <v>Y</v>
      </c>
      <c r="F47" s="67">
        <f>IF(RPAinput!E49="","",RPAinput!E49)</f>
        <v>0.06</v>
      </c>
      <c r="G47" s="67">
        <f>IF(RPAinput!F49="","",RPAinput!F49)</f>
      </c>
      <c r="H47" s="532" t="str">
        <f t="shared" si="2"/>
        <v>All ND &amp; MinDL&lt;C, MEC=MDL</v>
      </c>
      <c r="I47" s="531">
        <f t="shared" si="3"/>
        <v>0.06</v>
      </c>
      <c r="J47" s="531" t="str">
        <f t="shared" si="4"/>
        <v>MEC&lt;C</v>
      </c>
      <c r="K47" s="68"/>
      <c r="L47" s="67" t="str">
        <f>IF(RPAinput!I49="","",RPAinput!I49)</f>
        <v>Y</v>
      </c>
      <c r="M47" s="67" t="str">
        <f>IF(RPAinput!J49="","",RPAinput!J49)</f>
        <v>Y</v>
      </c>
      <c r="N47" s="67">
        <f>IF(RPAinput!K49="","",RPAinput!K49)</f>
        <v>0.5</v>
      </c>
      <c r="O47" s="528">
        <f>IF(RPAinput!L49="","",RPAinput!L49)</f>
      </c>
      <c r="P47" s="530" t="str">
        <f t="shared" si="7"/>
        <v>B&lt;=C</v>
      </c>
      <c r="Q47" s="67" t="str">
        <f>RPAinput!Q49</f>
        <v>No</v>
      </c>
      <c r="R47" s="528">
        <f t="shared" si="5"/>
      </c>
      <c r="S47" s="529" t="str">
        <f t="shared" si="8"/>
        <v>No</v>
      </c>
      <c r="T47" s="526" t="str">
        <f t="shared" si="6"/>
        <v>MEC&lt;C   B&lt;=C</v>
      </c>
    </row>
    <row r="48" spans="1:20" ht="12.75">
      <c r="A48" s="433">
        <f>Criteria!A54</f>
        <v>44</v>
      </c>
      <c r="B48" s="238" t="str">
        <f>Criteria!B54</f>
        <v>Vinyl Chloride</v>
      </c>
      <c r="C48" s="57">
        <f>Criteria!E54</f>
        <v>525</v>
      </c>
      <c r="D48" s="67" t="str">
        <f>IF(RPAinput!C50="","",RPAinput!C50)</f>
        <v>Y</v>
      </c>
      <c r="E48" s="67" t="str">
        <f>IF(RPAinput!D50="","",RPAinput!D50)</f>
        <v>Y</v>
      </c>
      <c r="F48" s="67">
        <f>IF(RPAinput!E50="","",RPAinput!E50)</f>
        <v>0.05</v>
      </c>
      <c r="G48" s="67">
        <f>IF(RPAinput!F50="","",RPAinput!F50)</f>
      </c>
      <c r="H48" s="532" t="str">
        <f t="shared" si="2"/>
        <v>All ND &amp; MinDL&lt;C, MEC=MDL</v>
      </c>
      <c r="I48" s="531">
        <f t="shared" si="3"/>
        <v>0.05</v>
      </c>
      <c r="J48" s="531" t="str">
        <f t="shared" si="4"/>
        <v>MEC&lt;C</v>
      </c>
      <c r="K48" s="68"/>
      <c r="L48" s="67" t="str">
        <f>IF(RPAinput!I50="","",RPAinput!I50)</f>
        <v>Y</v>
      </c>
      <c r="M48" s="67" t="str">
        <f>IF(RPAinput!J50="","",RPAinput!J50)</f>
        <v>Y</v>
      </c>
      <c r="N48" s="67">
        <f>IF(RPAinput!K50="","",RPAinput!K50)</f>
        <v>0.5</v>
      </c>
      <c r="O48" s="528">
        <f>IF(RPAinput!L50="","",RPAinput!L50)</f>
      </c>
      <c r="P48" s="530" t="str">
        <f t="shared" si="7"/>
        <v>B&lt;=C</v>
      </c>
      <c r="Q48" s="67" t="str">
        <f>RPAinput!Q50</f>
        <v>No</v>
      </c>
      <c r="R48" s="528">
        <f t="shared" si="5"/>
      </c>
      <c r="S48" s="529" t="str">
        <f t="shared" si="8"/>
        <v>No</v>
      </c>
      <c r="T48" s="526" t="str">
        <f t="shared" si="6"/>
        <v>MEC&lt;C   B&lt;=C</v>
      </c>
    </row>
    <row r="49" spans="1:20" ht="12.75">
      <c r="A49" s="433">
        <f>Criteria!A55</f>
        <v>45</v>
      </c>
      <c r="B49" s="238" t="str">
        <f>Criteria!B55</f>
        <v>Chlorophenol</v>
      </c>
      <c r="C49" s="57">
        <f>Criteria!E55</f>
        <v>400</v>
      </c>
      <c r="D49" s="67" t="str">
        <f>IF(RPAinput!C51="","",RPAinput!C51)</f>
        <v>Y</v>
      </c>
      <c r="E49" s="67" t="str">
        <f>IF(RPAinput!D51="","",RPAinput!D51)</f>
        <v>Y</v>
      </c>
      <c r="F49" s="67">
        <f>IF(RPAinput!E51="","",RPAinput!E51)</f>
        <v>0.4</v>
      </c>
      <c r="G49" s="67">
        <f>IF(RPAinput!F51="","",RPAinput!F51)</f>
      </c>
      <c r="H49" s="532" t="str">
        <f t="shared" si="2"/>
        <v>All ND &amp; MinDL&lt;C, MEC=MDL</v>
      </c>
      <c r="I49" s="531">
        <f t="shared" si="3"/>
        <v>0.4</v>
      </c>
      <c r="J49" s="531" t="str">
        <f t="shared" si="4"/>
        <v>MEC&lt;C</v>
      </c>
      <c r="K49" s="68"/>
      <c r="L49" s="67" t="str">
        <f>IF(RPAinput!I51="","",RPAinput!I51)</f>
        <v>Y</v>
      </c>
      <c r="M49" s="67" t="str">
        <f>IF(RPAinput!J51="","",RPAinput!J51)</f>
        <v>Y</v>
      </c>
      <c r="N49" s="67">
        <f>IF(RPAinput!K51="","",RPAinput!K51)</f>
        <v>1.2</v>
      </c>
      <c r="O49" s="528">
        <f>IF(RPAinput!L51="","",RPAinput!L51)</f>
      </c>
      <c r="P49" s="530" t="str">
        <f t="shared" si="7"/>
        <v>B&lt;=C</v>
      </c>
      <c r="Q49" s="67" t="str">
        <f>RPAinput!Q51</f>
        <v>No</v>
      </c>
      <c r="R49" s="528">
        <f t="shared" si="5"/>
      </c>
      <c r="S49" s="529" t="str">
        <f t="shared" si="8"/>
        <v>No</v>
      </c>
      <c r="T49" s="526" t="str">
        <f t="shared" si="6"/>
        <v>MEC&lt;C   B&lt;=C</v>
      </c>
    </row>
    <row r="50" spans="1:20" ht="12.75">
      <c r="A50" s="433">
        <f>Criteria!A56</f>
        <v>46</v>
      </c>
      <c r="B50" s="238" t="str">
        <f>Criteria!B56</f>
        <v>2,4-Dichlorophenol</v>
      </c>
      <c r="C50" s="57">
        <f>Criteria!E56</f>
        <v>790</v>
      </c>
      <c r="D50" s="67" t="str">
        <f>IF(RPAinput!C52="","",RPAinput!C52)</f>
        <v>Y</v>
      </c>
      <c r="E50" s="67" t="str">
        <f>IF(RPAinput!D52="","",RPAinput!D52)</f>
        <v>Y</v>
      </c>
      <c r="F50" s="67">
        <f>IF(RPAinput!E52="","",RPAinput!E52)</f>
        <v>0.3</v>
      </c>
      <c r="G50" s="67">
        <f>IF(RPAinput!F52="","",RPAinput!F52)</f>
      </c>
      <c r="H50" s="532" t="str">
        <f t="shared" si="2"/>
        <v>All ND &amp; MinDL&lt;C, MEC=MDL</v>
      </c>
      <c r="I50" s="531">
        <f t="shared" si="3"/>
        <v>0.3</v>
      </c>
      <c r="J50" s="531" t="str">
        <f t="shared" si="4"/>
        <v>MEC&lt;C</v>
      </c>
      <c r="K50" s="68"/>
      <c r="L50" s="67" t="str">
        <f>IF(RPAinput!I52="","",RPAinput!I52)</f>
        <v>Y</v>
      </c>
      <c r="M50" s="67" t="str">
        <f>IF(RPAinput!J52="","",RPAinput!J52)</f>
        <v>Y</v>
      </c>
      <c r="N50" s="67">
        <f>IF(RPAinput!K52="","",RPAinput!K52)</f>
        <v>1.3</v>
      </c>
      <c r="O50" s="528">
        <f>IF(RPAinput!L52="","",RPAinput!L52)</f>
      </c>
      <c r="P50" s="530" t="str">
        <f t="shared" si="7"/>
        <v>B&lt;=C</v>
      </c>
      <c r="Q50" s="67" t="str">
        <f>RPAinput!Q52</f>
        <v>No</v>
      </c>
      <c r="R50" s="528">
        <f t="shared" si="5"/>
      </c>
      <c r="S50" s="529" t="str">
        <f t="shared" si="8"/>
        <v>No</v>
      </c>
      <c r="T50" s="526" t="str">
        <f t="shared" si="6"/>
        <v>MEC&lt;C   B&lt;=C</v>
      </c>
    </row>
    <row r="51" spans="1:20" ht="12.75">
      <c r="A51" s="433">
        <f>Criteria!A57</f>
        <v>47</v>
      </c>
      <c r="B51" s="238" t="str">
        <f>Criteria!B57</f>
        <v>2,4-Dimethylphenol</v>
      </c>
      <c r="C51" s="57">
        <f>Criteria!E57</f>
        <v>2300</v>
      </c>
      <c r="D51" s="67" t="str">
        <f>IF(RPAinput!C53="","",RPAinput!C53)</f>
        <v>Y</v>
      </c>
      <c r="E51" s="67" t="str">
        <f>IF(RPAinput!D53="","",RPAinput!D53)</f>
        <v>Y</v>
      </c>
      <c r="F51" s="67">
        <f>IF(RPAinput!E53="","",RPAinput!E53)</f>
        <v>0.3</v>
      </c>
      <c r="G51" s="67">
        <f>IF(RPAinput!F53="","",RPAinput!F53)</f>
      </c>
      <c r="H51" s="532" t="str">
        <f t="shared" si="2"/>
        <v>All ND &amp; MinDL&lt;C, MEC=MDL</v>
      </c>
      <c r="I51" s="531">
        <f t="shared" si="3"/>
        <v>0.3</v>
      </c>
      <c r="J51" s="531" t="str">
        <f t="shared" si="4"/>
        <v>MEC&lt;C</v>
      </c>
      <c r="K51" s="68"/>
      <c r="L51" s="67" t="str">
        <f>IF(RPAinput!I53="","",RPAinput!I53)</f>
        <v>Y</v>
      </c>
      <c r="M51" s="67" t="str">
        <f>IF(RPAinput!J53="","",RPAinput!J53)</f>
        <v>Y</v>
      </c>
      <c r="N51" s="67">
        <f>IF(RPAinput!K53="","",RPAinput!K53)</f>
        <v>1.3</v>
      </c>
      <c r="O51" s="528">
        <f>IF(RPAinput!L53="","",RPAinput!L53)</f>
      </c>
      <c r="P51" s="530" t="str">
        <f t="shared" si="7"/>
        <v>B&lt;=C</v>
      </c>
      <c r="Q51" s="67" t="str">
        <f>RPAinput!Q53</f>
        <v>No</v>
      </c>
      <c r="R51" s="528">
        <f t="shared" si="5"/>
      </c>
      <c r="S51" s="529" t="str">
        <f t="shared" si="8"/>
        <v>No</v>
      </c>
      <c r="T51" s="526" t="str">
        <f t="shared" si="6"/>
        <v>MEC&lt;C   B&lt;=C</v>
      </c>
    </row>
    <row r="52" spans="1:20" ht="12.75">
      <c r="A52" s="433">
        <f>Criteria!A58</f>
        <v>48</v>
      </c>
      <c r="B52" s="238" t="str">
        <f>Criteria!B58</f>
        <v>2-Methyl-4,6-Dinitrophenol</v>
      </c>
      <c r="C52" s="57">
        <f>Criteria!E58</f>
        <v>765</v>
      </c>
      <c r="D52" s="67" t="str">
        <f>IF(RPAinput!C54="","",RPAinput!C54)</f>
        <v>Y</v>
      </c>
      <c r="E52" s="67" t="str">
        <f>IF(RPAinput!D54="","",RPAinput!D54)</f>
        <v>Y</v>
      </c>
      <c r="F52" s="67">
        <f>IF(RPAinput!E54="","",RPAinput!E54)</f>
        <v>0.4</v>
      </c>
      <c r="G52" s="67">
        <f>IF(RPAinput!F54="","",RPAinput!F54)</f>
      </c>
      <c r="H52" s="532" t="str">
        <f t="shared" si="2"/>
        <v>All ND &amp; MinDL&lt;C, MEC=MDL</v>
      </c>
      <c r="I52" s="531">
        <f t="shared" si="3"/>
        <v>0.4</v>
      </c>
      <c r="J52" s="531" t="str">
        <f t="shared" si="4"/>
        <v>MEC&lt;C</v>
      </c>
      <c r="K52" s="68"/>
      <c r="L52" s="67" t="str">
        <f>IF(RPAinput!I54="","",RPAinput!I54)</f>
        <v>Y</v>
      </c>
      <c r="M52" s="67" t="str">
        <f>IF(RPAinput!J54="","",RPAinput!J54)</f>
        <v>Y</v>
      </c>
      <c r="N52" s="67">
        <f>IF(RPAinput!K54="","",RPAinput!K54)</f>
        <v>1.2</v>
      </c>
      <c r="O52" s="528">
        <f>IF(RPAinput!L54="","",RPAinput!L54)</f>
      </c>
      <c r="P52" s="530" t="str">
        <f t="shared" si="7"/>
        <v>B&lt;=C</v>
      </c>
      <c r="Q52" s="67" t="str">
        <f>RPAinput!Q54</f>
        <v>No</v>
      </c>
      <c r="R52" s="528">
        <f t="shared" si="5"/>
      </c>
      <c r="S52" s="529" t="str">
        <f t="shared" si="8"/>
        <v>No</v>
      </c>
      <c r="T52" s="526" t="str">
        <f t="shared" si="6"/>
        <v>MEC&lt;C   B&lt;=C</v>
      </c>
    </row>
    <row r="53" spans="1:20" ht="12.75">
      <c r="A53" s="433">
        <f>Criteria!A59</f>
        <v>49</v>
      </c>
      <c r="B53" s="238" t="str">
        <f>Criteria!B59</f>
        <v>2,4-Dinitrophenol</v>
      </c>
      <c r="C53" s="57">
        <f>Criteria!E59</f>
        <v>14000</v>
      </c>
      <c r="D53" s="67" t="str">
        <f>IF(RPAinput!C55="","",RPAinput!C55)</f>
        <v>Y</v>
      </c>
      <c r="E53" s="67" t="str">
        <f>IF(RPAinput!D55="","",RPAinput!D55)</f>
        <v>Y</v>
      </c>
      <c r="F53" s="67">
        <f>IF(RPAinput!E55="","",RPAinput!E55)</f>
        <v>0.3</v>
      </c>
      <c r="G53" s="67">
        <f>IF(RPAinput!F55="","",RPAinput!F55)</f>
      </c>
      <c r="H53" s="532" t="str">
        <f t="shared" si="2"/>
        <v>All ND &amp; MinDL&lt;C, MEC=MDL</v>
      </c>
      <c r="I53" s="531">
        <f t="shared" si="3"/>
        <v>0.3</v>
      </c>
      <c r="J53" s="531" t="str">
        <f t="shared" si="4"/>
        <v>MEC&lt;C</v>
      </c>
      <c r="K53" s="68"/>
      <c r="L53" s="67" t="str">
        <f>IF(RPAinput!I55="","",RPAinput!I55)</f>
        <v>Y</v>
      </c>
      <c r="M53" s="67" t="str">
        <f>IF(RPAinput!J55="","",RPAinput!J55)</f>
        <v>Y</v>
      </c>
      <c r="N53" s="67">
        <f>IF(RPAinput!K55="","",RPAinput!K55)</f>
        <v>0.7</v>
      </c>
      <c r="O53" s="528">
        <f>IF(RPAinput!L55="","",RPAinput!L55)</f>
      </c>
      <c r="P53" s="530" t="str">
        <f t="shared" si="7"/>
        <v>B&lt;=C</v>
      </c>
      <c r="Q53" s="67" t="str">
        <f>RPAinput!Q55</f>
        <v>No</v>
      </c>
      <c r="R53" s="528">
        <f t="shared" si="5"/>
      </c>
      <c r="S53" s="529" t="str">
        <f t="shared" si="8"/>
        <v>No</v>
      </c>
      <c r="T53" s="526" t="str">
        <f t="shared" si="6"/>
        <v>MEC&lt;C   B&lt;=C</v>
      </c>
    </row>
    <row r="54" spans="1:20" ht="12.75">
      <c r="A54" s="433">
        <f>Criteria!A60</f>
        <v>50</v>
      </c>
      <c r="B54" s="238" t="str">
        <f>Criteria!B60</f>
        <v>2-Nitrophenol</v>
      </c>
      <c r="C54" s="57" t="str">
        <f>Criteria!E60</f>
        <v>No Criteria</v>
      </c>
      <c r="D54" s="67" t="str">
        <f>IF(RPAinput!C56="","",RPAinput!C56)</f>
        <v>Y</v>
      </c>
      <c r="E54" s="67" t="str">
        <f>IF(RPAinput!D56="","",RPAinput!D56)</f>
        <v>Y</v>
      </c>
      <c r="F54" s="67">
        <f>IF(RPAinput!E56="","",RPAinput!E56)</f>
        <v>0.3</v>
      </c>
      <c r="G54" s="67">
        <f>IF(RPAinput!F56="","",RPAinput!F56)</f>
      </c>
      <c r="H54" s="532" t="str">
        <f t="shared" si="2"/>
        <v>No Criteria</v>
      </c>
      <c r="I54" s="531" t="str">
        <f t="shared" si="3"/>
        <v>No Criteria</v>
      </c>
      <c r="J54" s="531" t="str">
        <f t="shared" si="4"/>
        <v>No Criteria</v>
      </c>
      <c r="K54" s="68"/>
      <c r="L54" s="67" t="str">
        <f>IF(RPAinput!I56="","",RPAinput!I56)</f>
        <v>Y</v>
      </c>
      <c r="M54" s="67" t="str">
        <f>IF(RPAinput!J56="","",RPAinput!J56)</f>
        <v>Y</v>
      </c>
      <c r="N54" s="67">
        <f>IF(RPAinput!K56="","",RPAinput!K56)</f>
        <v>1.3</v>
      </c>
      <c r="O54" s="528">
        <f>IF(RPAinput!L56="","",RPAinput!L56)</f>
      </c>
      <c r="P54" s="530" t="str">
        <f t="shared" si="7"/>
        <v>No Criteria</v>
      </c>
      <c r="Q54" s="67" t="str">
        <f>RPAinput!Q56</f>
        <v>No</v>
      </c>
      <c r="R54" s="528">
        <f t="shared" si="5"/>
      </c>
      <c r="S54" s="529" t="str">
        <f t="shared" si="8"/>
        <v>Uo</v>
      </c>
      <c r="T54" s="526" t="str">
        <f t="shared" si="6"/>
        <v>No Criteria</v>
      </c>
    </row>
    <row r="55" spans="1:20" ht="12.75">
      <c r="A55" s="433">
        <f>Criteria!A61</f>
        <v>51</v>
      </c>
      <c r="B55" s="238" t="str">
        <f>Criteria!B61</f>
        <v>4-Nitrophenol</v>
      </c>
      <c r="C55" s="57" t="str">
        <f>Criteria!E61</f>
        <v>No Criteria</v>
      </c>
      <c r="D55" s="67" t="str">
        <f>IF(RPAinput!C57="","",RPAinput!C57)</f>
        <v>Y</v>
      </c>
      <c r="E55" s="67" t="str">
        <f>IF(RPAinput!D57="","",RPAinput!D57)</f>
        <v>Y</v>
      </c>
      <c r="F55" s="67">
        <f>IF(RPAinput!E57="","",RPAinput!E57)</f>
        <v>0.2</v>
      </c>
      <c r="G55" s="67">
        <f>IF(RPAinput!F57="","",RPAinput!F57)</f>
      </c>
      <c r="H55" s="532" t="str">
        <f t="shared" si="2"/>
        <v>No Criteria</v>
      </c>
      <c r="I55" s="531" t="str">
        <f t="shared" si="3"/>
        <v>No Criteria</v>
      </c>
      <c r="J55" s="531" t="str">
        <f t="shared" si="4"/>
        <v>No Criteria</v>
      </c>
      <c r="K55" s="68"/>
      <c r="L55" s="67" t="str">
        <f>IF(RPAinput!I57="","",RPAinput!I57)</f>
        <v>Y</v>
      </c>
      <c r="M55" s="67" t="str">
        <f>IF(RPAinput!J57="","",RPAinput!J57)</f>
        <v>Y</v>
      </c>
      <c r="N55" s="67">
        <f>IF(RPAinput!K57="","",RPAinput!K57)</f>
        <v>1.6</v>
      </c>
      <c r="O55" s="528">
        <f>IF(RPAinput!L57="","",RPAinput!L57)</f>
      </c>
      <c r="P55" s="530" t="str">
        <f t="shared" si="7"/>
        <v>No Criteria</v>
      </c>
      <c r="Q55" s="67" t="str">
        <f>RPAinput!Q57</f>
        <v>No</v>
      </c>
      <c r="R55" s="528">
        <f t="shared" si="5"/>
      </c>
      <c r="S55" s="529" t="str">
        <f t="shared" si="8"/>
        <v>Uo</v>
      </c>
      <c r="T55" s="526" t="str">
        <f t="shared" si="6"/>
        <v>No Criteria</v>
      </c>
    </row>
    <row r="56" spans="1:20" ht="12.75">
      <c r="A56" s="433">
        <f>Criteria!A62</f>
        <v>52</v>
      </c>
      <c r="B56" s="238" t="str">
        <f>Criteria!B62</f>
        <v>3-Methyl-4-Chlorophenol</v>
      </c>
      <c r="C56" s="57" t="str">
        <f>Criteria!E62</f>
        <v>No Criteria</v>
      </c>
      <c r="D56" s="67" t="str">
        <f>IF(RPAinput!C58="","",RPAinput!C58)</f>
        <v>Y</v>
      </c>
      <c r="E56" s="67" t="str">
        <f>IF(RPAinput!D58="","",RPAinput!D58)</f>
        <v>Y</v>
      </c>
      <c r="F56" s="67">
        <f>IF(RPAinput!E58="","",RPAinput!E58)</f>
        <v>0.3</v>
      </c>
      <c r="G56" s="67">
        <f>IF(RPAinput!F58="","",RPAinput!F58)</f>
      </c>
      <c r="H56" s="532" t="str">
        <f t="shared" si="2"/>
        <v>No Criteria</v>
      </c>
      <c r="I56" s="531" t="str">
        <f t="shared" si="3"/>
        <v>No Criteria</v>
      </c>
      <c r="J56" s="531" t="str">
        <f t="shared" si="4"/>
        <v>No Criteria</v>
      </c>
      <c r="K56" s="68"/>
      <c r="L56" s="67" t="str">
        <f>IF(RPAinput!I58="","",RPAinput!I58)</f>
        <v>Y</v>
      </c>
      <c r="M56" s="67" t="str">
        <f>IF(RPAinput!J58="","",RPAinput!J58)</f>
        <v>Y</v>
      </c>
      <c r="N56" s="67">
        <f>IF(RPAinput!K58="","",RPAinput!K58)</f>
        <v>1.1</v>
      </c>
      <c r="O56" s="528">
        <f>IF(RPAinput!L58="","",RPAinput!L58)</f>
      </c>
      <c r="P56" s="530" t="str">
        <f t="shared" si="7"/>
        <v>No Criteria</v>
      </c>
      <c r="Q56" s="67" t="str">
        <f>RPAinput!Q58</f>
        <v>No</v>
      </c>
      <c r="R56" s="528">
        <f t="shared" si="5"/>
      </c>
      <c r="S56" s="529" t="str">
        <f t="shared" si="8"/>
        <v>Uo</v>
      </c>
      <c r="T56" s="526" t="str">
        <f t="shared" si="6"/>
        <v>No Criteria</v>
      </c>
    </row>
    <row r="57" spans="1:20" ht="12.75">
      <c r="A57" s="433">
        <f>Criteria!A63</f>
        <v>53</v>
      </c>
      <c r="B57" s="238" t="str">
        <f>Criteria!B63</f>
        <v>Pentachlorophenol</v>
      </c>
      <c r="C57" s="59">
        <f>Criteria!E63</f>
        <v>7.9</v>
      </c>
      <c r="D57" s="67" t="str">
        <f>IF(RPAinput!C59="","",RPAinput!C59)</f>
        <v>Y</v>
      </c>
      <c r="E57" s="67" t="str">
        <f>IF(RPAinput!D59="","",RPAinput!D59)</f>
        <v>Y</v>
      </c>
      <c r="F57" s="67">
        <f>IF(RPAinput!E59="","",RPAinput!E59)</f>
        <v>0.4</v>
      </c>
      <c r="G57" s="67">
        <f>IF(RPAinput!F59="","",RPAinput!F59)</f>
      </c>
      <c r="H57" s="532" t="str">
        <f t="shared" si="2"/>
        <v>All ND &amp; MinDL&lt;C, MEC=MDL</v>
      </c>
      <c r="I57" s="531">
        <f t="shared" si="3"/>
        <v>0.4</v>
      </c>
      <c r="J57" s="531" t="str">
        <f t="shared" si="4"/>
        <v>MEC&lt;C</v>
      </c>
      <c r="K57" s="68"/>
      <c r="L57" s="67" t="str">
        <f>IF(RPAinput!I59="","",RPAinput!I59)</f>
        <v>Y</v>
      </c>
      <c r="M57" s="67" t="str">
        <f>IF(RPAinput!J59="","",RPAinput!J59)</f>
        <v>Y</v>
      </c>
      <c r="N57" s="67">
        <f>IF(RPAinput!K59="","",RPAinput!K59)</f>
        <v>1</v>
      </c>
      <c r="O57" s="528">
        <f>IF(RPAinput!L59="","",RPAinput!L59)</f>
      </c>
      <c r="P57" s="530" t="str">
        <f t="shared" si="7"/>
        <v>B&lt;=C</v>
      </c>
      <c r="Q57" s="67" t="str">
        <f>RPAinput!Q59</f>
        <v>No</v>
      </c>
      <c r="R57" s="528">
        <f t="shared" si="5"/>
      </c>
      <c r="S57" s="529" t="str">
        <f t="shared" si="8"/>
        <v>No</v>
      </c>
      <c r="T57" s="526" t="str">
        <f t="shared" si="6"/>
        <v>MEC&lt;C   B&lt;=C</v>
      </c>
    </row>
    <row r="58" spans="1:20" ht="12.75">
      <c r="A58" s="433">
        <f>Criteria!A64</f>
        <v>54</v>
      </c>
      <c r="B58" s="238" t="str">
        <f>Criteria!B64</f>
        <v>Phenol</v>
      </c>
      <c r="C58" s="57">
        <f>Criteria!E64</f>
        <v>4600000</v>
      </c>
      <c r="D58" s="67" t="str">
        <f>IF(RPAinput!C60="","",RPAinput!C60)</f>
        <v>Y</v>
      </c>
      <c r="E58" s="67" t="str">
        <f>IF(RPAinput!D60="","",RPAinput!D60)</f>
        <v>Y</v>
      </c>
      <c r="F58" s="67">
        <f>IF(RPAinput!E60="","",RPAinput!E60)</f>
        <v>0.2</v>
      </c>
      <c r="G58" s="67">
        <f>IF(RPAinput!F60="","",RPAinput!F60)</f>
      </c>
      <c r="H58" s="532" t="str">
        <f t="shared" si="2"/>
        <v>All ND &amp; MinDL&lt;C, MEC=MDL</v>
      </c>
      <c r="I58" s="531">
        <f t="shared" si="3"/>
        <v>0.2</v>
      </c>
      <c r="J58" s="531" t="str">
        <f t="shared" si="4"/>
        <v>MEC&lt;C</v>
      </c>
      <c r="K58" s="68"/>
      <c r="L58" s="67" t="str">
        <f>IF(RPAinput!I60="","",RPAinput!I60)</f>
        <v>Y</v>
      </c>
      <c r="M58" s="67" t="str">
        <f>IF(RPAinput!J60="","",RPAinput!J60)</f>
        <v>Y</v>
      </c>
      <c r="N58" s="67">
        <f>IF(RPAinput!K60="","",RPAinput!K60)</f>
        <v>1.3</v>
      </c>
      <c r="O58" s="528">
        <f>IF(RPAinput!L60="","",RPAinput!L60)</f>
      </c>
      <c r="P58" s="530" t="str">
        <f t="shared" si="7"/>
        <v>B&lt;=C</v>
      </c>
      <c r="Q58" s="67" t="str">
        <f>RPAinput!Q60</f>
        <v>No</v>
      </c>
      <c r="R58" s="528">
        <f t="shared" si="5"/>
      </c>
      <c r="S58" s="529" t="str">
        <f t="shared" si="8"/>
        <v>No</v>
      </c>
      <c r="T58" s="526" t="str">
        <f t="shared" si="6"/>
        <v>MEC&lt;C   B&lt;=C</v>
      </c>
    </row>
    <row r="59" spans="1:20" ht="12.75">
      <c r="A59" s="433">
        <f>Criteria!A65</f>
        <v>55</v>
      </c>
      <c r="B59" s="238" t="str">
        <f>Criteria!B65</f>
        <v>2,4,6-Trichlorophenol</v>
      </c>
      <c r="C59" s="59">
        <f>Criteria!E65</f>
        <v>6.5</v>
      </c>
      <c r="D59" s="67" t="str">
        <f>IF(RPAinput!C61="","",RPAinput!C61)</f>
        <v>Y</v>
      </c>
      <c r="E59" s="67" t="str">
        <f>IF(RPAinput!D61="","",RPAinput!D61)</f>
        <v>Y</v>
      </c>
      <c r="F59" s="67">
        <f>IF(RPAinput!E61="","",RPAinput!E61)</f>
        <v>0.2</v>
      </c>
      <c r="G59" s="67">
        <f>IF(RPAinput!F61="","",RPAinput!F61)</f>
      </c>
      <c r="H59" s="532" t="str">
        <f t="shared" si="2"/>
        <v>All ND &amp; MinDL&lt;C, MEC=MDL</v>
      </c>
      <c r="I59" s="531">
        <f t="shared" si="3"/>
        <v>0.2</v>
      </c>
      <c r="J59" s="531" t="str">
        <f t="shared" si="4"/>
        <v>MEC&lt;C</v>
      </c>
      <c r="K59" s="68"/>
      <c r="L59" s="67" t="str">
        <f>IF(RPAinput!I61="","",RPAinput!I61)</f>
        <v>Y</v>
      </c>
      <c r="M59" s="67" t="str">
        <f>IF(RPAinput!J61="","",RPAinput!J61)</f>
        <v>Y</v>
      </c>
      <c r="N59" s="67">
        <f>IF(RPAinput!K61="","",RPAinput!K61)</f>
        <v>1.3</v>
      </c>
      <c r="O59" s="528">
        <f>IF(RPAinput!L61="","",RPAinput!L61)</f>
      </c>
      <c r="P59" s="530" t="str">
        <f t="shared" si="7"/>
        <v>B&lt;=C</v>
      </c>
      <c r="Q59" s="67" t="str">
        <f>RPAinput!Q61</f>
        <v>No</v>
      </c>
      <c r="R59" s="528">
        <f t="shared" si="5"/>
      </c>
      <c r="S59" s="529" t="str">
        <f t="shared" si="8"/>
        <v>No</v>
      </c>
      <c r="T59" s="526" t="str">
        <f t="shared" si="6"/>
        <v>MEC&lt;C   B&lt;=C</v>
      </c>
    </row>
    <row r="60" spans="1:20" ht="12.75">
      <c r="A60" s="433">
        <f>Criteria!A66</f>
        <v>56</v>
      </c>
      <c r="B60" s="238" t="str">
        <f>Criteria!B66</f>
        <v>Acenaphthene</v>
      </c>
      <c r="C60" s="57">
        <f>Criteria!E66</f>
        <v>2700</v>
      </c>
      <c r="D60" s="67" t="str">
        <f>IF(RPAinput!C62="","",RPAinput!C62)</f>
        <v>Y</v>
      </c>
      <c r="E60" s="67" t="str">
        <f>IF(RPAinput!D62="","",RPAinput!D62)</f>
        <v>Y</v>
      </c>
      <c r="F60" s="67">
        <f>IF(RPAinput!E62="","",RPAinput!E62)</f>
        <v>0.029</v>
      </c>
      <c r="G60" s="67">
        <f>IF(RPAinput!F62="","",RPAinput!F62)</f>
      </c>
      <c r="H60" s="532" t="str">
        <f t="shared" si="2"/>
        <v>All ND &amp; MinDL&lt;C, MEC=MDL</v>
      </c>
      <c r="I60" s="531">
        <f t="shared" si="3"/>
        <v>0.029</v>
      </c>
      <c r="J60" s="531" t="str">
        <f t="shared" si="4"/>
        <v>MEC&lt;C</v>
      </c>
      <c r="K60" s="68"/>
      <c r="L60" s="67" t="str">
        <f>IF(RPAinput!I62="","",RPAinput!I62)</f>
        <v>Y</v>
      </c>
      <c r="M60" s="67" t="str">
        <f>IF(RPAinput!J62="","",RPAinput!J62)</f>
        <v>N</v>
      </c>
      <c r="N60" s="67">
        <f>IF(RPAinput!K62="","",RPAinput!K62)</f>
      </c>
      <c r="O60" s="528">
        <f>IF(RPAinput!L62="","",RPAinput!L62)</f>
        <v>0.0015</v>
      </c>
      <c r="P60" s="530" t="str">
        <f t="shared" si="7"/>
        <v>B&lt;=C</v>
      </c>
      <c r="Q60" s="67" t="str">
        <f>RPAinput!Q62</f>
        <v>No</v>
      </c>
      <c r="R60" s="528">
        <f t="shared" si="5"/>
      </c>
      <c r="S60" s="529" t="str">
        <f t="shared" si="8"/>
        <v>No</v>
      </c>
      <c r="T60" s="526" t="str">
        <f t="shared" si="6"/>
        <v>MEC&lt;C   B&lt;=C</v>
      </c>
    </row>
    <row r="61" spans="1:20" ht="12.75">
      <c r="A61" s="433">
        <f>Criteria!A67</f>
        <v>57</v>
      </c>
      <c r="B61" s="238" t="str">
        <f>Criteria!B67</f>
        <v>Acenephthylene</v>
      </c>
      <c r="C61" s="57" t="str">
        <f>Criteria!E67</f>
        <v>No Criteria</v>
      </c>
      <c r="D61" s="67" t="str">
        <f>IF(RPAinput!C63="","",RPAinput!C63)</f>
        <v>Y</v>
      </c>
      <c r="E61" s="67" t="str">
        <f>IF(RPAinput!D63="","",RPAinput!D63)</f>
        <v>Y</v>
      </c>
      <c r="F61" s="67">
        <f>IF(RPAinput!E63="","",RPAinput!E63)</f>
        <v>0.019</v>
      </c>
      <c r="G61" s="67">
        <f>IF(RPAinput!F63="","",RPAinput!F63)</f>
      </c>
      <c r="H61" s="532" t="str">
        <f t="shared" si="2"/>
        <v>No Criteria</v>
      </c>
      <c r="I61" s="531" t="str">
        <f t="shared" si="3"/>
        <v>No Criteria</v>
      </c>
      <c r="J61" s="531" t="str">
        <f t="shared" si="4"/>
        <v>No Criteria</v>
      </c>
      <c r="K61" s="68"/>
      <c r="L61" s="67" t="str">
        <f>IF(RPAinput!I63="","",RPAinput!I63)</f>
        <v>Y</v>
      </c>
      <c r="M61" s="67" t="str">
        <f>IF(RPAinput!J63="","",RPAinput!J63)</f>
        <v>N</v>
      </c>
      <c r="N61" s="67">
        <f>IF(RPAinput!K63="","",RPAinput!K63)</f>
      </c>
      <c r="O61" s="528">
        <f>IF(RPAinput!L63="","",RPAinput!L63)</f>
        <v>0.00053</v>
      </c>
      <c r="P61" s="530" t="str">
        <f t="shared" si="7"/>
        <v>No Criteria</v>
      </c>
      <c r="Q61" s="67" t="str">
        <f>RPAinput!Q63</f>
        <v>No</v>
      </c>
      <c r="R61" s="528">
        <f t="shared" si="5"/>
      </c>
      <c r="S61" s="529" t="str">
        <f t="shared" si="8"/>
        <v>Uo</v>
      </c>
      <c r="T61" s="526" t="str">
        <f t="shared" si="6"/>
        <v>No Criteria</v>
      </c>
    </row>
    <row r="62" spans="1:20" ht="12.75">
      <c r="A62" s="433">
        <f>Criteria!A68</f>
        <v>58</v>
      </c>
      <c r="B62" s="238" t="str">
        <f>Criteria!B68</f>
        <v>Anthracene</v>
      </c>
      <c r="C62" s="57">
        <f>Criteria!E68</f>
        <v>110000</v>
      </c>
      <c r="D62" s="67" t="str">
        <f>IF(RPAinput!C64="","",RPAinput!C64)</f>
        <v>Y</v>
      </c>
      <c r="E62" s="67" t="str">
        <f>IF(RPAinput!D64="","",RPAinput!D64)</f>
        <v>Y</v>
      </c>
      <c r="F62" s="67">
        <f>IF(RPAinput!E64="","",RPAinput!E64)</f>
        <v>0.029</v>
      </c>
      <c r="G62" s="67">
        <f>IF(RPAinput!F64="","",RPAinput!F64)</f>
      </c>
      <c r="H62" s="532" t="str">
        <f t="shared" si="2"/>
        <v>All ND &amp; MinDL&lt;C, MEC=MDL</v>
      </c>
      <c r="I62" s="531">
        <f t="shared" si="3"/>
        <v>0.029</v>
      </c>
      <c r="J62" s="531" t="str">
        <f t="shared" si="4"/>
        <v>MEC&lt;C</v>
      </c>
      <c r="K62" s="68"/>
      <c r="L62" s="67" t="str">
        <f>IF(RPAinput!I64="","",RPAinput!I64)</f>
        <v>Y</v>
      </c>
      <c r="M62" s="67" t="str">
        <f>IF(RPAinput!J64="","",RPAinput!J64)</f>
        <v>N</v>
      </c>
      <c r="N62" s="67">
        <f>IF(RPAinput!K64="","",RPAinput!K64)</f>
      </c>
      <c r="O62" s="528">
        <f>IF(RPAinput!L64="","",RPAinput!L64)</f>
        <v>0.0005</v>
      </c>
      <c r="P62" s="530" t="str">
        <f t="shared" si="7"/>
        <v>B&lt;=C</v>
      </c>
      <c r="Q62" s="67" t="str">
        <f>RPAinput!Q64</f>
        <v>No</v>
      </c>
      <c r="R62" s="528">
        <f t="shared" si="5"/>
      </c>
      <c r="S62" s="529" t="str">
        <f t="shared" si="8"/>
        <v>No</v>
      </c>
      <c r="T62" s="526" t="str">
        <f t="shared" si="6"/>
        <v>MEC&lt;C   B&lt;=C</v>
      </c>
    </row>
    <row r="63" spans="1:20" ht="12.75">
      <c r="A63" s="433">
        <f>Criteria!A69</f>
        <v>59</v>
      </c>
      <c r="B63" s="238" t="str">
        <f>Criteria!B69</f>
        <v>Benzidine</v>
      </c>
      <c r="C63" s="62">
        <f>Criteria!E69</f>
        <v>0.00054</v>
      </c>
      <c r="D63" s="67" t="str">
        <f>IF(RPAinput!C65="","",RPAinput!C65)</f>
        <v>Y</v>
      </c>
      <c r="E63" s="67" t="str">
        <f>IF(RPAinput!D65="","",RPAinput!D65)</f>
        <v>Y</v>
      </c>
      <c r="F63" s="67">
        <f>IF(RPAinput!E65="","",RPAinput!E65)</f>
        <v>0.3</v>
      </c>
      <c r="G63" s="67">
        <f>IF(RPAinput!F65="","",RPAinput!F65)</f>
      </c>
      <c r="H63" s="532" t="str">
        <f t="shared" si="2"/>
        <v>All ND, MinDL&gt;C, do IM</v>
      </c>
      <c r="I63" s="531">
        <f t="shared" si="3"/>
      </c>
      <c r="J63" s="531" t="str">
        <f t="shared" si="4"/>
        <v>Eff all ND with MinDL&gt;C</v>
      </c>
      <c r="K63" s="68"/>
      <c r="L63" s="67" t="str">
        <f>IF(RPAinput!I65="","",RPAinput!I65)</f>
        <v>Y</v>
      </c>
      <c r="M63" s="67" t="str">
        <f>IF(RPAinput!J65="","",RPAinput!J65)</f>
        <v>Y</v>
      </c>
      <c r="N63" s="67">
        <f>IF(RPAinput!K65="","",RPAinput!K65)</f>
        <v>0.0015</v>
      </c>
      <c r="O63" s="528">
        <f>IF(RPAinput!L65="","",RPAinput!L65)</f>
      </c>
      <c r="P63" s="530" t="str">
        <f t="shared" si="7"/>
        <v>All B ND with MinDL&gt;C</v>
      </c>
      <c r="Q63" s="67" t="str">
        <f>RPAinput!Q65</f>
        <v>No</v>
      </c>
      <c r="R63" s="528" t="str">
        <f t="shared" si="5"/>
        <v>Yes</v>
      </c>
      <c r="S63" s="529" t="str">
        <f t="shared" si="8"/>
        <v>Ud</v>
      </c>
      <c r="T63" s="526" t="str">
        <f t="shared" si="6"/>
        <v>Eff all ND with MinDL&gt;C   All B ND with MinDL&gt;C</v>
      </c>
    </row>
    <row r="64" spans="1:20" ht="12.75">
      <c r="A64" s="433">
        <f>Criteria!A70</f>
        <v>60</v>
      </c>
      <c r="B64" s="238" t="str">
        <f>Criteria!B70</f>
        <v>Benzo(a)Anthracene</v>
      </c>
      <c r="C64" s="60">
        <f>Criteria!E70</f>
        <v>0.049</v>
      </c>
      <c r="D64" s="67" t="str">
        <f>IF(RPAinput!C66="","",RPAinput!C66)</f>
        <v>Y</v>
      </c>
      <c r="E64" s="67" t="str">
        <f>IF(RPAinput!D66="","",RPAinput!D66)</f>
        <v>Y</v>
      </c>
      <c r="F64" s="67">
        <f>IF(RPAinput!E66="","",RPAinput!E66)</f>
        <v>0.019</v>
      </c>
      <c r="G64" s="67">
        <f>IF(RPAinput!F66="","",RPAinput!F66)</f>
      </c>
      <c r="H64" s="532" t="str">
        <f t="shared" si="2"/>
        <v>All ND &amp; MinDL&lt;C, MEC=MDL</v>
      </c>
      <c r="I64" s="531">
        <f t="shared" si="3"/>
        <v>0.019</v>
      </c>
      <c r="J64" s="531" t="str">
        <f t="shared" si="4"/>
        <v>MEC&lt;C</v>
      </c>
      <c r="K64" s="68"/>
      <c r="L64" s="67" t="str">
        <f>IF(RPAinput!I66="","",RPAinput!I66)</f>
        <v>Y</v>
      </c>
      <c r="M64" s="67" t="str">
        <f>IF(RPAinput!J66="","",RPAinput!J66)</f>
        <v>N</v>
      </c>
      <c r="N64" s="67">
        <f>IF(RPAinput!K66="","",RPAinput!K66)</f>
      </c>
      <c r="O64" s="528">
        <f>IF(RPAinput!L66="","",RPAinput!L66)</f>
        <v>0.0053</v>
      </c>
      <c r="P64" s="530" t="str">
        <f t="shared" si="7"/>
        <v>B&lt;=C</v>
      </c>
      <c r="Q64" s="67" t="str">
        <f>RPAinput!Q66</f>
        <v>No</v>
      </c>
      <c r="R64" s="528">
        <f t="shared" si="5"/>
      </c>
      <c r="S64" s="529" t="str">
        <f t="shared" si="8"/>
        <v>No</v>
      </c>
      <c r="T64" s="526" t="str">
        <f t="shared" si="6"/>
        <v>MEC&lt;C   B&lt;=C</v>
      </c>
    </row>
    <row r="65" spans="1:20" ht="12.75">
      <c r="A65" s="433">
        <f>Criteria!A71</f>
        <v>61</v>
      </c>
      <c r="B65" s="238" t="str">
        <f>Criteria!B71</f>
        <v>Benzo(a)Pyrene</v>
      </c>
      <c r="C65" s="60">
        <f>Criteria!E71</f>
        <v>0.049</v>
      </c>
      <c r="D65" s="67" t="str">
        <f>IF(RPAinput!C67="","",RPAinput!C67)</f>
        <v>Y</v>
      </c>
      <c r="E65" s="67" t="str">
        <f>IF(RPAinput!D67="","",RPAinput!D67)</f>
        <v>Y</v>
      </c>
      <c r="F65" s="67">
        <f>IF(RPAinput!E67="","",RPAinput!E67)</f>
        <v>0.019</v>
      </c>
      <c r="G65" s="67">
        <f>IF(RPAinput!F67="","",RPAinput!F67)</f>
      </c>
      <c r="H65" s="532" t="str">
        <f t="shared" si="2"/>
        <v>All ND &amp; MinDL&lt;C, MEC=MDL</v>
      </c>
      <c r="I65" s="531">
        <f t="shared" si="3"/>
        <v>0.019</v>
      </c>
      <c r="J65" s="531" t="str">
        <f t="shared" si="4"/>
        <v>MEC&lt;C</v>
      </c>
      <c r="K65" s="68"/>
      <c r="L65" s="67" t="str">
        <f>IF(RPAinput!I67="","",RPAinput!I67)</f>
        <v>Y</v>
      </c>
      <c r="M65" s="67" t="str">
        <f>IF(RPAinput!J67="","",RPAinput!J67)</f>
        <v>N</v>
      </c>
      <c r="N65" s="67">
        <f>IF(RPAinput!K67="","",RPAinput!K67)</f>
      </c>
      <c r="O65" s="528">
        <f>IF(RPAinput!L67="","",RPAinput!L67)</f>
        <v>0.00029</v>
      </c>
      <c r="P65" s="530" t="str">
        <f t="shared" si="7"/>
        <v>B&lt;=C</v>
      </c>
      <c r="Q65" s="67" t="str">
        <f>RPAinput!Q67</f>
        <v>No</v>
      </c>
      <c r="R65" s="528">
        <f t="shared" si="5"/>
      </c>
      <c r="S65" s="529" t="str">
        <f t="shared" si="8"/>
        <v>No</v>
      </c>
      <c r="T65" s="526" t="str">
        <f t="shared" si="6"/>
        <v>MEC&lt;C   B&lt;=C</v>
      </c>
    </row>
    <row r="66" spans="1:20" ht="12.75">
      <c r="A66" s="433">
        <f>Criteria!A72</f>
        <v>62</v>
      </c>
      <c r="B66" s="238" t="str">
        <f>Criteria!B72</f>
        <v>Benzo(b)Fluoranthene</v>
      </c>
      <c r="C66" s="60">
        <f>Criteria!E72</f>
        <v>0.049</v>
      </c>
      <c r="D66" s="67" t="str">
        <f>IF(RPAinput!C68="","",RPAinput!C68)</f>
        <v>Y</v>
      </c>
      <c r="E66" s="67" t="str">
        <f>IF(RPAinput!D68="","",RPAinput!D68)</f>
        <v>Y</v>
      </c>
      <c r="F66" s="67">
        <f>IF(RPAinput!E68="","",RPAinput!E68)</f>
        <v>0.029</v>
      </c>
      <c r="G66" s="67">
        <f>IF(RPAinput!F68="","",RPAinput!F68)</f>
      </c>
      <c r="H66" s="532" t="str">
        <f t="shared" si="2"/>
        <v>All ND &amp; MinDL&lt;C, MEC=MDL</v>
      </c>
      <c r="I66" s="531">
        <f t="shared" si="3"/>
        <v>0.029</v>
      </c>
      <c r="J66" s="531" t="str">
        <f t="shared" si="4"/>
        <v>MEC&lt;C</v>
      </c>
      <c r="K66" s="68"/>
      <c r="L66" s="67" t="str">
        <f>IF(RPAinput!I68="","",RPAinput!I68)</f>
        <v>Y</v>
      </c>
      <c r="M66" s="67" t="str">
        <f>IF(RPAinput!J68="","",RPAinput!J68)</f>
        <v>N</v>
      </c>
      <c r="N66" s="67">
        <f>IF(RPAinput!K68="","",RPAinput!K68)</f>
      </c>
      <c r="O66" s="528">
        <f>IF(RPAinput!L68="","",RPAinput!L68)</f>
        <v>0.0046</v>
      </c>
      <c r="P66" s="530" t="str">
        <f t="shared" si="7"/>
        <v>B&lt;=C</v>
      </c>
      <c r="Q66" s="67" t="str">
        <f>RPAinput!Q68</f>
        <v>No</v>
      </c>
      <c r="R66" s="528">
        <f t="shared" si="5"/>
      </c>
      <c r="S66" s="529" t="str">
        <f t="shared" si="8"/>
        <v>No</v>
      </c>
      <c r="T66" s="526" t="str">
        <f t="shared" si="6"/>
        <v>MEC&lt;C   B&lt;=C</v>
      </c>
    </row>
    <row r="67" spans="1:20" ht="12.75">
      <c r="A67" s="433">
        <f>Criteria!A73</f>
        <v>63</v>
      </c>
      <c r="B67" s="238" t="str">
        <f>Criteria!B73</f>
        <v>Benzo(ghi)Perylene</v>
      </c>
      <c r="C67" s="57" t="str">
        <f>Criteria!E73</f>
        <v>No Criteria</v>
      </c>
      <c r="D67" s="67" t="str">
        <f>IF(RPAinput!C69="","",RPAinput!C69)</f>
        <v>Y</v>
      </c>
      <c r="E67" s="67" t="str">
        <f>IF(RPAinput!D69="","",RPAinput!D69)</f>
        <v>Y</v>
      </c>
      <c r="F67" s="67">
        <f>IF(RPAinput!E69="","",RPAinput!E69)</f>
        <v>0.029</v>
      </c>
      <c r="G67" s="67">
        <f>IF(RPAinput!F69="","",RPAinput!F69)</f>
      </c>
      <c r="H67" s="532" t="str">
        <f t="shared" si="2"/>
        <v>No Criteria</v>
      </c>
      <c r="I67" s="531" t="str">
        <f t="shared" si="3"/>
        <v>No Criteria</v>
      </c>
      <c r="J67" s="531" t="str">
        <f t="shared" si="4"/>
        <v>No Criteria</v>
      </c>
      <c r="K67" s="68"/>
      <c r="L67" s="67" t="str">
        <f>IF(RPAinput!I69="","",RPAinput!I69)</f>
        <v>Y</v>
      </c>
      <c r="M67" s="67" t="str">
        <f>IF(RPAinput!J69="","",RPAinput!J69)</f>
        <v>N</v>
      </c>
      <c r="N67" s="67">
        <f>IF(RPAinput!K69="","",RPAinput!K69)</f>
      </c>
      <c r="O67" s="528">
        <f>IF(RPAinput!L69="","",RPAinput!L69)</f>
        <v>0.0027</v>
      </c>
      <c r="P67" s="530" t="str">
        <f t="shared" si="7"/>
        <v>No Criteria</v>
      </c>
      <c r="Q67" s="67" t="str">
        <f>RPAinput!Q69</f>
        <v>No</v>
      </c>
      <c r="R67" s="528">
        <f t="shared" si="5"/>
      </c>
      <c r="S67" s="529" t="str">
        <f t="shared" si="8"/>
        <v>Uo</v>
      </c>
      <c r="T67" s="526" t="str">
        <f t="shared" si="6"/>
        <v>No Criteria</v>
      </c>
    </row>
    <row r="68" spans="1:20" ht="12.75">
      <c r="A68" s="433">
        <f>Criteria!A74</f>
        <v>64</v>
      </c>
      <c r="B68" s="238" t="str">
        <f>Criteria!B74</f>
        <v>Benzo(k)Fluoranthene</v>
      </c>
      <c r="C68" s="60">
        <f>Criteria!E74</f>
        <v>0.049</v>
      </c>
      <c r="D68" s="67" t="str">
        <f>IF(RPAinput!C70="","",RPAinput!C70)</f>
        <v>Y</v>
      </c>
      <c r="E68" s="67" t="str">
        <f>IF(RPAinput!D70="","",RPAinput!D70)</f>
        <v>Y</v>
      </c>
      <c r="F68" s="67">
        <f>IF(RPAinput!E70="","",RPAinput!E70)</f>
        <v>0.039</v>
      </c>
      <c r="G68" s="67">
        <f>IF(RPAinput!F70="","",RPAinput!F70)</f>
      </c>
      <c r="H68" s="532" t="str">
        <f t="shared" si="2"/>
        <v>All ND &amp; MinDL&lt;C, MEC=MDL</v>
      </c>
      <c r="I68" s="531">
        <f t="shared" si="3"/>
        <v>0.039</v>
      </c>
      <c r="J68" s="531" t="str">
        <f t="shared" si="4"/>
        <v>MEC&lt;C</v>
      </c>
      <c r="K68" s="68"/>
      <c r="L68" s="67" t="str">
        <f>IF(RPAinput!I70="","",RPAinput!I70)</f>
        <v>Y</v>
      </c>
      <c r="M68" s="67" t="str">
        <f>IF(RPAinput!J70="","",RPAinput!J70)</f>
        <v>N</v>
      </c>
      <c r="N68" s="67">
        <f>IF(RPAinput!K70="","",RPAinput!K70)</f>
      </c>
      <c r="O68" s="528">
        <f>IF(RPAinput!L70="","",RPAinput!L70)</f>
        <v>0.0015</v>
      </c>
      <c r="P68" s="530" t="str">
        <f t="shared" si="7"/>
        <v>B&lt;=C</v>
      </c>
      <c r="Q68" s="67" t="str">
        <f>RPAinput!Q70</f>
        <v>No</v>
      </c>
      <c r="R68" s="528">
        <f t="shared" si="5"/>
      </c>
      <c r="S68" s="529" t="str">
        <f aca="true" t="shared" si="9" ref="S68:S99">IF(C68="No Criteria","Uo",IF(OR(LEFT(J68,4)="Need",LEFT(P68,4)="Need",Q68="Yes"),"Yes",IF(OR(D68="N",L68="N",AND(E68="Y",F68&gt;C68)),"Ud","No")))</f>
        <v>No</v>
      </c>
      <c r="T68" s="526" t="str">
        <f t="shared" si="6"/>
        <v>MEC&lt;C   B&lt;=C</v>
      </c>
    </row>
    <row r="69" spans="1:20" ht="12.75">
      <c r="A69" s="433">
        <f>Criteria!A75</f>
        <v>65</v>
      </c>
      <c r="B69" s="238" t="str">
        <f>Criteria!B75</f>
        <v>Bis(2-Chloroethoxy)Methane</v>
      </c>
      <c r="C69" s="57" t="str">
        <f>Criteria!E75</f>
        <v>No Criteria</v>
      </c>
      <c r="D69" s="67" t="str">
        <f>IF(RPAinput!C71="","",RPAinput!C71)</f>
        <v>Y</v>
      </c>
      <c r="E69" s="67" t="str">
        <f>IF(RPAinput!D71="","",RPAinput!D71)</f>
        <v>Y</v>
      </c>
      <c r="F69" s="67">
        <f>IF(RPAinput!E71="","",RPAinput!E71)</f>
        <v>0.3</v>
      </c>
      <c r="G69" s="67">
        <f>IF(RPAinput!F71="","",RPAinput!F71)</f>
      </c>
      <c r="H69" s="532" t="str">
        <f aca="true" t="shared" si="10" ref="H69:H127">IF(C69="No Criteria","No Criteria",IF(D69="N","No effluent data, do IM",IF(E69="N","",IF(F69&lt;=C69,"All ND &amp; MinDL&lt;C, MEC=MDL",IF(AND(E69="Y",F69&gt;C69),"All ND, MinDL&gt;C, do IM","ERROR?")))))</f>
        <v>No Criteria</v>
      </c>
      <c r="I69" s="531" t="str">
        <f aca="true" t="shared" si="11" ref="I69:I127">IF(C69="No Criteria","No Criteria",IF(D69="N","",IF(E69="N",G69,IF(AND(E69="Y",F69&lt;C69),F69,""))))</f>
        <v>No Criteria</v>
      </c>
      <c r="J69" s="531" t="str">
        <f aca="true" t="shared" si="12" ref="J69:J127">IF(C69="No Criteria","No Criteria",IF(D69="N","No effluent data",IF(I69&lt;C69,"MEC&lt;C",IF(AND(E69="Y",F69&gt;C69),"Eff all ND with MinDL&gt;C",IF(I69&gt;=C69,"Need Limit, MEC&gt;=C","ERROR?")))))</f>
        <v>No Criteria</v>
      </c>
      <c r="K69" s="68"/>
      <c r="L69" s="67" t="str">
        <f>IF(RPAinput!I71="","",RPAinput!I71)</f>
        <v>Y</v>
      </c>
      <c r="M69" s="67" t="str">
        <f>IF(RPAinput!J71="","",RPAinput!J71)</f>
        <v>Y</v>
      </c>
      <c r="N69" s="67">
        <f>IF(RPAinput!K71="","",RPAinput!K71)</f>
        <v>0.3</v>
      </c>
      <c r="O69" s="528">
        <f>IF(RPAinput!L71="","",RPAinput!L71)</f>
      </c>
      <c r="P69" s="530" t="str">
        <f t="shared" si="7"/>
        <v>No Criteria</v>
      </c>
      <c r="Q69" s="67" t="str">
        <f>RPAinput!Q71</f>
        <v>No</v>
      </c>
      <c r="R69" s="528">
        <f aca="true" t="shared" si="13" ref="R69:R127">IF(OR(D69="N",AND(E69="Y",I69&gt;C69)),"Yes","")</f>
      </c>
      <c r="S69" s="529" t="str">
        <f t="shared" si="9"/>
        <v>Uo</v>
      </c>
      <c r="T69" s="526" t="str">
        <f t="shared" si="6"/>
        <v>No Criteria</v>
      </c>
    </row>
    <row r="70" spans="1:20" ht="12.75">
      <c r="A70" s="433">
        <f>Criteria!A76</f>
        <v>66</v>
      </c>
      <c r="B70" s="238" t="str">
        <f>Criteria!B76</f>
        <v>Bis(2-Chloroethyl)Ether</v>
      </c>
      <c r="C70" s="59">
        <f>Criteria!E76</f>
        <v>1.4</v>
      </c>
      <c r="D70" s="67" t="str">
        <f>IF(RPAinput!C72="","",RPAinput!C72)</f>
        <v>Y</v>
      </c>
      <c r="E70" s="67" t="str">
        <f>IF(RPAinput!D72="","",RPAinput!D72)</f>
        <v>Y</v>
      </c>
      <c r="F70" s="67">
        <f>IF(RPAinput!E72="","",RPAinput!E72)</f>
        <v>0.3</v>
      </c>
      <c r="G70" s="67">
        <f>IF(RPAinput!F72="","",RPAinput!F72)</f>
      </c>
      <c r="H70" s="532" t="str">
        <f t="shared" si="10"/>
        <v>All ND &amp; MinDL&lt;C, MEC=MDL</v>
      </c>
      <c r="I70" s="531">
        <f t="shared" si="11"/>
        <v>0.3</v>
      </c>
      <c r="J70" s="531" t="str">
        <f t="shared" si="12"/>
        <v>MEC&lt;C</v>
      </c>
      <c r="K70" s="68"/>
      <c r="L70" s="67" t="str">
        <f>IF(RPAinput!I72="","",RPAinput!I72)</f>
        <v>Y</v>
      </c>
      <c r="M70" s="67" t="str">
        <f>IF(RPAinput!J72="","",RPAinput!J72)</f>
        <v>Y</v>
      </c>
      <c r="N70" s="67">
        <f>IF(RPAinput!K72="","",RPAinput!K72)</f>
        <v>0.3</v>
      </c>
      <c r="O70" s="528">
        <f>IF(RPAinput!L72="","",RPAinput!L72)</f>
      </c>
      <c r="P70" s="530" t="str">
        <f t="shared" si="7"/>
        <v>B&lt;=C</v>
      </c>
      <c r="Q70" s="67" t="str">
        <f>RPAinput!Q72</f>
        <v>No</v>
      </c>
      <c r="R70" s="528">
        <f t="shared" si="13"/>
      </c>
      <c r="S70" s="529" t="str">
        <f t="shared" si="9"/>
        <v>No</v>
      </c>
      <c r="T70" s="526" t="str">
        <f t="shared" si="6"/>
        <v>MEC&lt;C   B&lt;=C</v>
      </c>
    </row>
    <row r="71" spans="1:20" ht="12.75">
      <c r="A71" s="433">
        <f>Criteria!A77</f>
        <v>67</v>
      </c>
      <c r="B71" s="238" t="str">
        <f>Criteria!B77</f>
        <v>Bis(2-Chloroisopropyl)Ether</v>
      </c>
      <c r="C71" s="57">
        <f>Criteria!E77</f>
        <v>170000</v>
      </c>
      <c r="D71" s="67" t="str">
        <f>IF(RPAinput!C73="","",RPAinput!C73)</f>
        <v>Y</v>
      </c>
      <c r="E71" s="67" t="str">
        <f>IF(RPAinput!D73="","",RPAinput!D73)</f>
        <v>Y</v>
      </c>
      <c r="F71" s="67">
        <f>IF(RPAinput!E73="","",RPAinput!E73)</f>
        <v>0.6</v>
      </c>
      <c r="G71" s="67">
        <f>IF(RPAinput!F73="","",RPAinput!F73)</f>
      </c>
      <c r="H71" s="532" t="str">
        <f t="shared" si="10"/>
        <v>All ND &amp; MinDL&lt;C, MEC=MDL</v>
      </c>
      <c r="I71" s="531">
        <f t="shared" si="11"/>
        <v>0.6</v>
      </c>
      <c r="J71" s="531" t="str">
        <f t="shared" si="12"/>
        <v>MEC&lt;C</v>
      </c>
      <c r="K71" s="68"/>
      <c r="L71" s="67" t="str">
        <f>IF(RPAinput!I73="","",RPAinput!I73)</f>
        <v>Y</v>
      </c>
      <c r="M71" s="67" t="str">
        <f>IF(RPAinput!J73="","",RPAinput!J73)</f>
        <v>Y</v>
      </c>
      <c r="N71" s="67">
        <f>IF(RPAinput!K73="","",RPAinput!K73)</f>
        <v>0.6</v>
      </c>
      <c r="O71" s="528">
        <f>IF(RPAinput!L73="","",RPAinput!L73)</f>
      </c>
      <c r="P71" s="530" t="str">
        <f t="shared" si="7"/>
        <v>B&lt;=C</v>
      </c>
      <c r="Q71" s="67" t="str">
        <f>RPAinput!Q73</f>
        <v>No</v>
      </c>
      <c r="R71" s="528">
        <f t="shared" si="13"/>
      </c>
      <c r="S71" s="529" t="str">
        <f t="shared" si="9"/>
        <v>No</v>
      </c>
      <c r="T71" s="526" t="str">
        <f t="shared" si="6"/>
        <v>MEC&lt;C   B&lt;=C</v>
      </c>
    </row>
    <row r="72" spans="1:20" ht="12.75">
      <c r="A72" s="433">
        <f>Criteria!A78</f>
        <v>68</v>
      </c>
      <c r="B72" s="238" t="str">
        <f>Criteria!B78</f>
        <v>Bis(2-Ethylhexyl)Phthalate</v>
      </c>
      <c r="C72" s="59">
        <f>Criteria!E78</f>
        <v>5.9</v>
      </c>
      <c r="D72" s="67" t="str">
        <f>IF(RPAinput!C74="","",RPAinput!C74)</f>
        <v>Y</v>
      </c>
      <c r="E72" s="67" t="str">
        <f>IF(RPAinput!D74="","",RPAinput!D74)</f>
        <v>N</v>
      </c>
      <c r="F72" s="67">
        <f>IF(RPAinput!E74="","",RPAinput!E74)</f>
      </c>
      <c r="G72" s="67">
        <f>IF(RPAinput!F74="","",RPAinput!F74)</f>
        <v>2</v>
      </c>
      <c r="H72" s="532">
        <f t="shared" si="10"/>
      </c>
      <c r="I72" s="531">
        <f t="shared" si="11"/>
        <v>2</v>
      </c>
      <c r="J72" s="531" t="str">
        <f t="shared" si="12"/>
        <v>MEC&lt;C</v>
      </c>
      <c r="K72" s="68"/>
      <c r="L72" s="67" t="str">
        <f>IF(RPAinput!I74="","",RPAinput!I74)</f>
        <v>Y</v>
      </c>
      <c r="M72" s="67" t="str">
        <f>IF(RPAinput!J74="","",RPAinput!J74)</f>
        <v>Y</v>
      </c>
      <c r="N72" s="67">
        <f>IF(RPAinput!K74="","",RPAinput!K74)</f>
        <v>0.5</v>
      </c>
      <c r="O72" s="528">
        <f>IF(RPAinput!L74="","",RPAinput!L74)</f>
      </c>
      <c r="P72" s="530" t="str">
        <f t="shared" si="7"/>
        <v>B&lt;=C</v>
      </c>
      <c r="Q72" s="67" t="str">
        <f>RPAinput!Q74</f>
        <v>No</v>
      </c>
      <c r="R72" s="528">
        <f t="shared" si="13"/>
      </c>
      <c r="S72" s="529" t="str">
        <f t="shared" si="9"/>
        <v>No</v>
      </c>
      <c r="T72" s="526" t="str">
        <f t="shared" si="6"/>
        <v>MEC&lt;C   B&lt;=C</v>
      </c>
    </row>
    <row r="73" spans="1:20" ht="12.75">
      <c r="A73" s="433">
        <f>Criteria!A79</f>
        <v>69</v>
      </c>
      <c r="B73" s="238" t="str">
        <f>Criteria!B79</f>
        <v>4-Bromophenyl Phenyl Ether</v>
      </c>
      <c r="C73" s="57" t="str">
        <f>Criteria!E79</f>
        <v>No Criteria</v>
      </c>
      <c r="D73" s="67" t="str">
        <f>IF(RPAinput!C75="","",RPAinput!C75)</f>
        <v>Y</v>
      </c>
      <c r="E73" s="67" t="str">
        <f>IF(RPAinput!D75="","",RPAinput!D75)</f>
        <v>Y</v>
      </c>
      <c r="F73" s="67">
        <f>IF(RPAinput!E75="","",RPAinput!E75)</f>
        <v>0.4</v>
      </c>
      <c r="G73" s="67">
        <f>IF(RPAinput!F75="","",RPAinput!F75)</f>
      </c>
      <c r="H73" s="532" t="str">
        <f t="shared" si="10"/>
        <v>No Criteria</v>
      </c>
      <c r="I73" s="531" t="str">
        <f t="shared" si="11"/>
        <v>No Criteria</v>
      </c>
      <c r="J73" s="531" t="str">
        <f t="shared" si="12"/>
        <v>No Criteria</v>
      </c>
      <c r="K73" s="68"/>
      <c r="L73" s="67" t="str">
        <f>IF(RPAinput!I75="","",RPAinput!I75)</f>
        <v>Y</v>
      </c>
      <c r="M73" s="67" t="str">
        <f>IF(RPAinput!J75="","",RPAinput!J75)</f>
        <v>Y</v>
      </c>
      <c r="N73" s="67">
        <f>IF(RPAinput!K75="","",RPAinput!K75)</f>
        <v>0.23</v>
      </c>
      <c r="O73" s="528">
        <f>IF(RPAinput!L75="","",RPAinput!L75)</f>
      </c>
      <c r="P73" s="530" t="str">
        <f t="shared" si="7"/>
        <v>No Criteria</v>
      </c>
      <c r="Q73" s="67" t="str">
        <f>RPAinput!Q75</f>
        <v>No</v>
      </c>
      <c r="R73" s="528">
        <f t="shared" si="13"/>
      </c>
      <c r="S73" s="529" t="str">
        <f t="shared" si="9"/>
        <v>Uo</v>
      </c>
      <c r="T73" s="526" t="str">
        <f aca="true" t="shared" si="14" ref="T73:T127">IF(C73="No Criteria","No Criteria",IF(D73="N","No effluent data    "&amp;P73,IF(Q73="Yes","TRIGGER 3   "&amp;J73&amp;"    "&amp;P73,J73&amp;"   "&amp;P73)))</f>
        <v>No Criteria</v>
      </c>
    </row>
    <row r="74" spans="1:20" ht="12.75">
      <c r="A74" s="433">
        <f>Criteria!A80</f>
        <v>70</v>
      </c>
      <c r="B74" s="238" t="str">
        <f>Criteria!B80</f>
        <v>Butylbenzyl Phthalate</v>
      </c>
      <c r="C74" s="57">
        <f>Criteria!E80</f>
        <v>5200</v>
      </c>
      <c r="D74" s="67" t="str">
        <f>IF(RPAinput!C76="","",RPAinput!C76)</f>
        <v>Y</v>
      </c>
      <c r="E74" s="67" t="str">
        <f>IF(RPAinput!D76="","",RPAinput!D76)</f>
        <v>Y</v>
      </c>
      <c r="F74" s="67">
        <f>IF(RPAinput!E76="","",RPAinput!E76)</f>
        <v>0.4</v>
      </c>
      <c r="G74" s="67">
        <f>IF(RPAinput!F76="","",RPAinput!F76)</f>
      </c>
      <c r="H74" s="532" t="str">
        <f t="shared" si="10"/>
        <v>All ND &amp; MinDL&lt;C, MEC=MDL</v>
      </c>
      <c r="I74" s="531">
        <f t="shared" si="11"/>
        <v>0.4</v>
      </c>
      <c r="J74" s="531" t="str">
        <f t="shared" si="12"/>
        <v>MEC&lt;C</v>
      </c>
      <c r="K74" s="68"/>
      <c r="L74" s="67" t="str">
        <f>IF(RPAinput!I76="","",RPAinput!I76)</f>
        <v>Y</v>
      </c>
      <c r="M74" s="67" t="str">
        <f>IF(RPAinput!J76="","",RPAinput!J76)</f>
        <v>Y</v>
      </c>
      <c r="N74" s="67">
        <f>IF(RPAinput!K76="","",RPAinput!K76)</f>
        <v>0.52</v>
      </c>
      <c r="O74" s="528">
        <f>IF(RPAinput!L76="","",RPAinput!L76)</f>
      </c>
      <c r="P74" s="530" t="str">
        <f t="shared" si="7"/>
        <v>B&lt;=C</v>
      </c>
      <c r="Q74" s="67" t="str">
        <f>RPAinput!Q76</f>
        <v>No</v>
      </c>
      <c r="R74" s="528">
        <f t="shared" si="13"/>
      </c>
      <c r="S74" s="529" t="str">
        <f t="shared" si="9"/>
        <v>No</v>
      </c>
      <c r="T74" s="526" t="str">
        <f t="shared" si="14"/>
        <v>MEC&lt;C   B&lt;=C</v>
      </c>
    </row>
    <row r="75" spans="1:20" ht="12.75">
      <c r="A75" s="433">
        <f>Criteria!A81</f>
        <v>71</v>
      </c>
      <c r="B75" s="238" t="str">
        <f>Criteria!B81</f>
        <v>2-Chloronaphthalene</v>
      </c>
      <c r="C75" s="57">
        <f>Criteria!E81</f>
        <v>4300</v>
      </c>
      <c r="D75" s="67" t="str">
        <f>IF(RPAinput!C77="","",RPAinput!C77)</f>
        <v>Y</v>
      </c>
      <c r="E75" s="67" t="str">
        <f>IF(RPAinput!D77="","",RPAinput!D77)</f>
        <v>Y</v>
      </c>
      <c r="F75" s="67">
        <f>IF(RPAinput!E77="","",RPAinput!E77)</f>
        <v>0.3</v>
      </c>
      <c r="G75" s="67">
        <f>IF(RPAinput!F77="","",RPAinput!F77)</f>
      </c>
      <c r="H75" s="532" t="str">
        <f t="shared" si="10"/>
        <v>All ND &amp; MinDL&lt;C, MEC=MDL</v>
      </c>
      <c r="I75" s="531">
        <f t="shared" si="11"/>
        <v>0.3</v>
      </c>
      <c r="J75" s="531" t="str">
        <f t="shared" si="12"/>
        <v>MEC&lt;C</v>
      </c>
      <c r="K75" s="68"/>
      <c r="L75" s="67" t="str">
        <f>IF(RPAinput!I77="","",RPAinput!I77)</f>
        <v>Y</v>
      </c>
      <c r="M75" s="67" t="str">
        <f>IF(RPAinput!J77="","",RPAinput!J77)</f>
        <v>Y</v>
      </c>
      <c r="N75" s="67">
        <f>IF(RPAinput!K77="","",RPAinput!K77)</f>
        <v>0.3</v>
      </c>
      <c r="O75" s="528">
        <f>IF(RPAinput!L77="","",RPAinput!L77)</f>
      </c>
      <c r="P75" s="530" t="str">
        <f t="shared" si="7"/>
        <v>B&lt;=C</v>
      </c>
      <c r="Q75" s="67" t="str">
        <f>RPAinput!Q77</f>
        <v>No</v>
      </c>
      <c r="R75" s="528">
        <f t="shared" si="13"/>
      </c>
      <c r="S75" s="529" t="str">
        <f t="shared" si="9"/>
        <v>No</v>
      </c>
      <c r="T75" s="526" t="str">
        <f t="shared" si="14"/>
        <v>MEC&lt;C   B&lt;=C</v>
      </c>
    </row>
    <row r="76" spans="1:20" ht="12.75">
      <c r="A76" s="433">
        <f>Criteria!A82</f>
        <v>72</v>
      </c>
      <c r="B76" s="238" t="str">
        <f>Criteria!B82</f>
        <v>4-Chlorophenyl Phenyl Ether</v>
      </c>
      <c r="C76" s="57" t="str">
        <f>Criteria!E82</f>
        <v>No Criteria</v>
      </c>
      <c r="D76" s="67" t="str">
        <f>IF(RPAinput!C78="","",RPAinput!C78)</f>
        <v>Y</v>
      </c>
      <c r="E76" s="67" t="str">
        <f>IF(RPAinput!D78="","",RPAinput!D78)</f>
        <v>Y</v>
      </c>
      <c r="F76" s="67">
        <f>IF(RPAinput!E78="","",RPAinput!E78)</f>
        <v>0.4</v>
      </c>
      <c r="G76" s="67">
        <f>IF(RPAinput!F78="","",RPAinput!F78)</f>
      </c>
      <c r="H76" s="532" t="str">
        <f t="shared" si="10"/>
        <v>No Criteria</v>
      </c>
      <c r="I76" s="531" t="str">
        <f t="shared" si="11"/>
        <v>No Criteria</v>
      </c>
      <c r="J76" s="531" t="str">
        <f t="shared" si="12"/>
        <v>No Criteria</v>
      </c>
      <c r="K76" s="68"/>
      <c r="L76" s="67" t="str">
        <f>IF(RPAinput!I78="","",RPAinput!I78)</f>
        <v>Y</v>
      </c>
      <c r="M76" s="67" t="str">
        <f>IF(RPAinput!J78="","",RPAinput!J78)</f>
        <v>Y</v>
      </c>
      <c r="N76" s="67">
        <f>IF(RPAinput!K78="","",RPAinput!K78)</f>
        <v>0.3</v>
      </c>
      <c r="O76" s="528">
        <f>IF(RPAinput!L78="","",RPAinput!L78)</f>
      </c>
      <c r="P76" s="530" t="str">
        <f t="shared" si="7"/>
        <v>No Criteria</v>
      </c>
      <c r="Q76" s="67" t="str">
        <f>RPAinput!Q78</f>
        <v>No</v>
      </c>
      <c r="R76" s="528">
        <f t="shared" si="13"/>
      </c>
      <c r="S76" s="529" t="str">
        <f t="shared" si="9"/>
        <v>Uo</v>
      </c>
      <c r="T76" s="526" t="str">
        <f t="shared" si="14"/>
        <v>No Criteria</v>
      </c>
    </row>
    <row r="77" spans="1:20" ht="12.75">
      <c r="A77" s="433">
        <f>Criteria!A83</f>
        <v>73</v>
      </c>
      <c r="B77" s="238" t="str">
        <f>Criteria!B83</f>
        <v>Chrysene</v>
      </c>
      <c r="C77" s="60">
        <f>Criteria!E83</f>
        <v>0.049</v>
      </c>
      <c r="D77" s="67" t="str">
        <f>IF(RPAinput!C79="","",RPAinput!C79)</f>
        <v>Y</v>
      </c>
      <c r="E77" s="67" t="str">
        <f>IF(RPAinput!D79="","",RPAinput!D79)</f>
        <v>Y</v>
      </c>
      <c r="F77" s="67">
        <f>IF(RPAinput!E79="","",RPAinput!E79)</f>
        <v>0.039</v>
      </c>
      <c r="G77" s="67">
        <f>IF(RPAinput!F79="","",RPAinput!F79)</f>
      </c>
      <c r="H77" s="532" t="str">
        <f t="shared" si="10"/>
        <v>All ND &amp; MinDL&lt;C, MEC=MDL</v>
      </c>
      <c r="I77" s="531">
        <f t="shared" si="11"/>
        <v>0.039</v>
      </c>
      <c r="J77" s="531" t="str">
        <f t="shared" si="12"/>
        <v>MEC&lt;C</v>
      </c>
      <c r="K77" s="68"/>
      <c r="L77" s="67" t="str">
        <f>IF(RPAinput!I79="","",RPAinput!I79)</f>
        <v>Y</v>
      </c>
      <c r="M77" s="67" t="str">
        <f>IF(RPAinput!J79="","",RPAinput!J79)</f>
        <v>N</v>
      </c>
      <c r="N77" s="67">
        <f>IF(RPAinput!K79="","",RPAinput!K79)</f>
      </c>
      <c r="O77" s="528">
        <f>IF(RPAinput!L79="","",RPAinput!L79)</f>
        <v>0.0024</v>
      </c>
      <c r="P77" s="530" t="str">
        <f t="shared" si="7"/>
        <v>B&lt;=C</v>
      </c>
      <c r="Q77" s="67" t="str">
        <f>RPAinput!Q79</f>
        <v>No</v>
      </c>
      <c r="R77" s="528">
        <f t="shared" si="13"/>
      </c>
      <c r="S77" s="529" t="str">
        <f t="shared" si="9"/>
        <v>No</v>
      </c>
      <c r="T77" s="526" t="str">
        <f t="shared" si="14"/>
        <v>MEC&lt;C   B&lt;=C</v>
      </c>
    </row>
    <row r="78" spans="1:20" ht="12.75">
      <c r="A78" s="433">
        <f>Criteria!A84</f>
        <v>74</v>
      </c>
      <c r="B78" s="238" t="str">
        <f>Criteria!B84</f>
        <v>Dibenzo(a,h)Anthracene</v>
      </c>
      <c r="C78" s="60">
        <f>Criteria!E84</f>
        <v>0.049</v>
      </c>
      <c r="D78" s="67" t="str">
        <f>IF(RPAinput!C80="","",RPAinput!C80)</f>
        <v>Y</v>
      </c>
      <c r="E78" s="67" t="str">
        <f>IF(RPAinput!D80="","",RPAinput!D80)</f>
        <v>Y</v>
      </c>
      <c r="F78" s="67">
        <f>IF(RPAinput!E80="","",RPAinput!E80)</f>
        <v>0.029</v>
      </c>
      <c r="G78" s="67">
        <f>IF(RPAinput!F80="","",RPAinput!F80)</f>
      </c>
      <c r="H78" s="532" t="str">
        <f t="shared" si="10"/>
        <v>All ND &amp; MinDL&lt;C, MEC=MDL</v>
      </c>
      <c r="I78" s="531">
        <f t="shared" si="11"/>
        <v>0.029</v>
      </c>
      <c r="J78" s="531" t="str">
        <f t="shared" si="12"/>
        <v>MEC&lt;C</v>
      </c>
      <c r="K78" s="68"/>
      <c r="L78" s="67" t="str">
        <f>IF(RPAinput!I80="","",RPAinput!I80)</f>
        <v>Y</v>
      </c>
      <c r="M78" s="67" t="str">
        <f>IF(RPAinput!J80="","",RPAinput!J80)</f>
        <v>N</v>
      </c>
      <c r="N78" s="67">
        <f>IF(RPAinput!K80="","",RPAinput!K80)</f>
      </c>
      <c r="O78" s="528">
        <f>IF(RPAinput!L80="","",RPAinput!L80)</f>
        <v>0.00064</v>
      </c>
      <c r="P78" s="530" t="str">
        <f t="shared" si="7"/>
        <v>B&lt;=C</v>
      </c>
      <c r="Q78" s="67" t="str">
        <f>RPAinput!Q80</f>
        <v>No</v>
      </c>
      <c r="R78" s="528">
        <f t="shared" si="13"/>
      </c>
      <c r="S78" s="529" t="str">
        <f t="shared" si="9"/>
        <v>No</v>
      </c>
      <c r="T78" s="526" t="str">
        <f t="shared" si="14"/>
        <v>MEC&lt;C   B&lt;=C</v>
      </c>
    </row>
    <row r="79" spans="1:20" ht="12.75">
      <c r="A79" s="433">
        <f>Criteria!A85</f>
        <v>75</v>
      </c>
      <c r="B79" s="238" t="str">
        <f>Criteria!B85</f>
        <v>1,2-Dichlorobenzene</v>
      </c>
      <c r="C79" s="57">
        <f>Criteria!E85</f>
        <v>17000</v>
      </c>
      <c r="D79" s="67" t="str">
        <f>IF(RPAinput!C81="","",RPAinput!C81)</f>
        <v>Y</v>
      </c>
      <c r="E79" s="67" t="str">
        <f>IF(RPAinput!D81="","",RPAinput!D81)</f>
        <v>Y</v>
      </c>
      <c r="F79" s="67">
        <f>IF(RPAinput!E81="","",RPAinput!E81)</f>
        <v>0.05</v>
      </c>
      <c r="G79" s="67">
        <f>IF(RPAinput!F81="","",RPAinput!F81)</f>
      </c>
      <c r="H79" s="532" t="str">
        <f t="shared" si="10"/>
        <v>All ND &amp; MinDL&lt;C, MEC=MDL</v>
      </c>
      <c r="I79" s="531">
        <f t="shared" si="11"/>
        <v>0.05</v>
      </c>
      <c r="J79" s="531" t="str">
        <f t="shared" si="12"/>
        <v>MEC&lt;C</v>
      </c>
      <c r="K79" s="68"/>
      <c r="L79" s="67" t="str">
        <f>IF(RPAinput!I81="","",RPAinput!I81)</f>
        <v>Y</v>
      </c>
      <c r="M79" s="67" t="str">
        <f>IF(RPAinput!J81="","",RPAinput!J81)</f>
        <v>Y</v>
      </c>
      <c r="N79" s="67">
        <f>IF(RPAinput!K81="","",RPAinput!K81)</f>
        <v>0.3</v>
      </c>
      <c r="O79" s="528">
        <f>IF(RPAinput!L81="","",RPAinput!L81)</f>
      </c>
      <c r="P79" s="530" t="str">
        <f t="shared" si="7"/>
        <v>B&lt;=C</v>
      </c>
      <c r="Q79" s="67" t="str">
        <f>RPAinput!Q81</f>
        <v>No</v>
      </c>
      <c r="R79" s="528">
        <f t="shared" si="13"/>
      </c>
      <c r="S79" s="529" t="str">
        <f t="shared" si="9"/>
        <v>No</v>
      </c>
      <c r="T79" s="526" t="str">
        <f t="shared" si="14"/>
        <v>MEC&lt;C   B&lt;=C</v>
      </c>
    </row>
    <row r="80" spans="1:20" ht="12.75">
      <c r="A80" s="433">
        <f>Criteria!A86</f>
        <v>76</v>
      </c>
      <c r="B80" s="238" t="str">
        <f>Criteria!B86</f>
        <v>1,3-Dichlorobenzene</v>
      </c>
      <c r="C80" s="57">
        <f>Criteria!E86</f>
        <v>2600</v>
      </c>
      <c r="D80" s="67" t="str">
        <f>IF(RPAinput!C82="","",RPAinput!C82)</f>
        <v>Y</v>
      </c>
      <c r="E80" s="67" t="str">
        <f>IF(RPAinput!D82="","",RPAinput!D82)</f>
        <v>Y</v>
      </c>
      <c r="F80" s="67">
        <f>IF(RPAinput!E82="","",RPAinput!E82)</f>
        <v>0.07</v>
      </c>
      <c r="G80" s="67">
        <f>IF(RPAinput!F82="","",RPAinput!F82)</f>
      </c>
      <c r="H80" s="532" t="str">
        <f t="shared" si="10"/>
        <v>All ND &amp; MinDL&lt;C, MEC=MDL</v>
      </c>
      <c r="I80" s="531">
        <f t="shared" si="11"/>
        <v>0.07</v>
      </c>
      <c r="J80" s="531" t="str">
        <f t="shared" si="12"/>
        <v>MEC&lt;C</v>
      </c>
      <c r="K80" s="68"/>
      <c r="L80" s="67" t="str">
        <f>IF(RPAinput!I82="","",RPAinput!I82)</f>
        <v>Y</v>
      </c>
      <c r="M80" s="67" t="str">
        <f>IF(RPAinput!J82="","",RPAinput!J82)</f>
        <v>Y</v>
      </c>
      <c r="N80" s="67">
        <f>IF(RPAinput!K82="","",RPAinput!K82)</f>
        <v>0.3</v>
      </c>
      <c r="O80" s="528">
        <f>IF(RPAinput!L82="","",RPAinput!L82)</f>
      </c>
      <c r="P80" s="530" t="str">
        <f t="shared" si="7"/>
        <v>B&lt;=C</v>
      </c>
      <c r="Q80" s="67" t="str">
        <f>RPAinput!Q82</f>
        <v>No</v>
      </c>
      <c r="R80" s="528">
        <f t="shared" si="13"/>
      </c>
      <c r="S80" s="529" t="str">
        <f t="shared" si="9"/>
        <v>No</v>
      </c>
      <c r="T80" s="526" t="str">
        <f t="shared" si="14"/>
        <v>MEC&lt;C   B&lt;=C</v>
      </c>
    </row>
    <row r="81" spans="1:20" ht="12.75">
      <c r="A81" s="433">
        <f>Criteria!A87</f>
        <v>77</v>
      </c>
      <c r="B81" s="238" t="str">
        <f>Criteria!B87</f>
        <v>1,4-Dichlorobenzene</v>
      </c>
      <c r="C81" s="57">
        <f>Criteria!E87</f>
        <v>2600</v>
      </c>
      <c r="D81" s="67" t="str">
        <f>IF(RPAinput!C83="","",RPAinput!C83)</f>
        <v>Y</v>
      </c>
      <c r="E81" s="67" t="str">
        <f>IF(RPAinput!D83="","",RPAinput!D83)</f>
        <v>N</v>
      </c>
      <c r="F81" s="67">
        <f>IF(RPAinput!E83="","",RPAinput!E83)</f>
      </c>
      <c r="G81" s="67">
        <f>IF(RPAinput!F83="","",RPAinput!F83)</f>
        <v>1.5</v>
      </c>
      <c r="H81" s="532">
        <f t="shared" si="10"/>
      </c>
      <c r="I81" s="531">
        <f t="shared" si="11"/>
        <v>1.5</v>
      </c>
      <c r="J81" s="531" t="str">
        <f t="shared" si="12"/>
        <v>MEC&lt;C</v>
      </c>
      <c r="K81" s="68"/>
      <c r="L81" s="67" t="str">
        <f>IF(RPAinput!I83="","",RPAinput!I83)</f>
        <v>Y</v>
      </c>
      <c r="M81" s="67" t="str">
        <f>IF(RPAinput!J83="","",RPAinput!J83)</f>
        <v>Y</v>
      </c>
      <c r="N81" s="67">
        <f>IF(RPAinput!K83="","",RPAinput!K83)</f>
        <v>0.3</v>
      </c>
      <c r="O81" s="528">
        <f>IF(RPAinput!L83="","",RPAinput!L83)</f>
      </c>
      <c r="P81" s="530" t="str">
        <f t="shared" si="7"/>
        <v>B&lt;=C</v>
      </c>
      <c r="Q81" s="67" t="str">
        <f>RPAinput!Q83</f>
        <v>No</v>
      </c>
      <c r="R81" s="528">
        <f t="shared" si="13"/>
      </c>
      <c r="S81" s="529" t="str">
        <f t="shared" si="9"/>
        <v>No</v>
      </c>
      <c r="T81" s="526" t="str">
        <f t="shared" si="14"/>
        <v>MEC&lt;C   B&lt;=C</v>
      </c>
    </row>
    <row r="82" spans="1:20" ht="12.75">
      <c r="A82" s="433">
        <f>Criteria!A88</f>
        <v>78</v>
      </c>
      <c r="B82" s="238" t="str">
        <f>Criteria!B88</f>
        <v>3,3'-Dichlorobenzidine</v>
      </c>
      <c r="C82" s="60">
        <f>Criteria!E88</f>
        <v>0.077</v>
      </c>
      <c r="D82" s="67" t="str">
        <f>IF(RPAinput!C84="","",RPAinput!C84)</f>
        <v>Y</v>
      </c>
      <c r="E82" s="67" t="str">
        <f>IF(RPAinput!D84="","",RPAinput!D84)</f>
        <v>Y</v>
      </c>
      <c r="F82" s="67">
        <f>IF(RPAinput!E84="","",RPAinput!E84)</f>
        <v>0.3</v>
      </c>
      <c r="G82" s="67">
        <f>IF(RPAinput!F84="","",RPAinput!F84)</f>
      </c>
      <c r="H82" s="532" t="str">
        <f t="shared" si="10"/>
        <v>All ND, MinDL&gt;C, do IM</v>
      </c>
      <c r="I82" s="531">
        <f t="shared" si="11"/>
      </c>
      <c r="J82" s="531" t="str">
        <f t="shared" si="12"/>
        <v>Eff all ND with MinDL&gt;C</v>
      </c>
      <c r="K82" s="68"/>
      <c r="L82" s="67" t="str">
        <f>IF(RPAinput!I84="","",RPAinput!I84)</f>
        <v>Y</v>
      </c>
      <c r="M82" s="67" t="str">
        <f>IF(RPAinput!J84="","",RPAinput!J84)</f>
        <v>Y</v>
      </c>
      <c r="N82" s="67">
        <f>IF(RPAinput!K84="","",RPAinput!K84)</f>
        <v>0.001</v>
      </c>
      <c r="O82" s="528">
        <f>IF(RPAinput!L84="","",RPAinput!L84)</f>
      </c>
      <c r="P82" s="530" t="str">
        <f t="shared" si="7"/>
        <v>B&lt;=C</v>
      </c>
      <c r="Q82" s="67" t="str">
        <f>RPAinput!Q84</f>
        <v>No</v>
      </c>
      <c r="R82" s="528" t="str">
        <f t="shared" si="13"/>
        <v>Yes</v>
      </c>
      <c r="S82" s="529" t="str">
        <f t="shared" si="9"/>
        <v>Ud</v>
      </c>
      <c r="T82" s="526" t="str">
        <f t="shared" si="14"/>
        <v>Eff all ND with MinDL&gt;C   B&lt;=C</v>
      </c>
    </row>
    <row r="83" spans="1:20" ht="12.75">
      <c r="A83" s="433">
        <f>Criteria!A89</f>
        <v>79</v>
      </c>
      <c r="B83" s="238" t="str">
        <f>Criteria!B89</f>
        <v>Diethyl Phthalate</v>
      </c>
      <c r="C83" s="57">
        <f>Criteria!E89</f>
        <v>120000</v>
      </c>
      <c r="D83" s="67" t="str">
        <f>IF(RPAinput!C85="","",RPAinput!C85)</f>
        <v>Y</v>
      </c>
      <c r="E83" s="67" t="str">
        <f>IF(RPAinput!D85="","",RPAinput!D85)</f>
        <v>Y</v>
      </c>
      <c r="F83" s="67">
        <f>IF(RPAinput!E85="","",RPAinput!E85)</f>
        <v>0.4</v>
      </c>
      <c r="G83" s="67">
        <f>IF(RPAinput!F85="","",RPAinput!F85)</f>
      </c>
      <c r="H83" s="532" t="str">
        <f t="shared" si="10"/>
        <v>All ND &amp; MinDL&lt;C, MEC=MDL</v>
      </c>
      <c r="I83" s="531">
        <f t="shared" si="11"/>
        <v>0.4</v>
      </c>
      <c r="J83" s="531" t="str">
        <f t="shared" si="12"/>
        <v>MEC&lt;C</v>
      </c>
      <c r="K83" s="68"/>
      <c r="L83" s="67" t="str">
        <f>IF(RPAinput!I85="","",RPAinput!I85)</f>
        <v>Y</v>
      </c>
      <c r="M83" s="67" t="str">
        <f>IF(RPAinput!J85="","",RPAinput!J85)</f>
        <v>Y</v>
      </c>
      <c r="N83" s="67">
        <f>IF(RPAinput!K85="","",RPAinput!K85)</f>
        <v>0.24</v>
      </c>
      <c r="O83" s="528">
        <f>IF(RPAinput!L85="","",RPAinput!L85)</f>
      </c>
      <c r="P83" s="530" t="str">
        <f t="shared" si="7"/>
        <v>B&lt;=C</v>
      </c>
      <c r="Q83" s="67" t="str">
        <f>RPAinput!Q85</f>
        <v>No</v>
      </c>
      <c r="R83" s="528">
        <f t="shared" si="13"/>
      </c>
      <c r="S83" s="529" t="str">
        <f t="shared" si="9"/>
        <v>No</v>
      </c>
      <c r="T83" s="526" t="str">
        <f t="shared" si="14"/>
        <v>MEC&lt;C   B&lt;=C</v>
      </c>
    </row>
    <row r="84" spans="1:20" ht="12.75">
      <c r="A84" s="433">
        <f>Criteria!A90</f>
        <v>80</v>
      </c>
      <c r="B84" s="238" t="str">
        <f>Criteria!B90</f>
        <v>Dimethyl Phthalate</v>
      </c>
      <c r="C84" s="57">
        <f>Criteria!E90</f>
        <v>2900000</v>
      </c>
      <c r="D84" s="67" t="str">
        <f>IF(RPAinput!C86="","",RPAinput!C86)</f>
        <v>Y</v>
      </c>
      <c r="E84" s="67" t="str">
        <f>IF(RPAinput!D86="","",RPAinput!D86)</f>
        <v>Y</v>
      </c>
      <c r="F84" s="67">
        <f>IF(RPAinput!E86="","",RPAinput!E86)</f>
        <v>0.4</v>
      </c>
      <c r="G84" s="67">
        <f>IF(RPAinput!F86="","",RPAinput!F86)</f>
      </c>
      <c r="H84" s="532" t="str">
        <f t="shared" si="10"/>
        <v>All ND &amp; MinDL&lt;C, MEC=MDL</v>
      </c>
      <c r="I84" s="531">
        <f t="shared" si="11"/>
        <v>0.4</v>
      </c>
      <c r="J84" s="531" t="str">
        <f t="shared" si="12"/>
        <v>MEC&lt;C</v>
      </c>
      <c r="K84" s="68"/>
      <c r="L84" s="67" t="str">
        <f>IF(RPAinput!I86="","",RPAinput!I86)</f>
        <v>Y</v>
      </c>
      <c r="M84" s="67" t="str">
        <f>IF(RPAinput!J86="","",RPAinput!J86)</f>
        <v>Y</v>
      </c>
      <c r="N84" s="67">
        <f>IF(RPAinput!K86="","",RPAinput!K86)</f>
        <v>0.24</v>
      </c>
      <c r="O84" s="528">
        <f>IF(RPAinput!L86="","",RPAinput!L86)</f>
      </c>
      <c r="P84" s="530" t="str">
        <f t="shared" si="7"/>
        <v>B&lt;=C</v>
      </c>
      <c r="Q84" s="67" t="str">
        <f>RPAinput!Q86</f>
        <v>No</v>
      </c>
      <c r="R84" s="528">
        <f t="shared" si="13"/>
      </c>
      <c r="S84" s="529" t="str">
        <f t="shared" si="9"/>
        <v>No</v>
      </c>
      <c r="T84" s="526" t="str">
        <f t="shared" si="14"/>
        <v>MEC&lt;C   B&lt;=C</v>
      </c>
    </row>
    <row r="85" spans="1:20" ht="12.75">
      <c r="A85" s="433">
        <f>Criteria!A91</f>
        <v>81</v>
      </c>
      <c r="B85" s="238" t="str">
        <f>Criteria!B91</f>
        <v>Di-n-Butyl Phthalate</v>
      </c>
      <c r="C85" s="57">
        <f>Criteria!E91</f>
        <v>12000</v>
      </c>
      <c r="D85" s="67" t="str">
        <f>IF(RPAinput!C87="","",RPAinput!C87)</f>
        <v>Y</v>
      </c>
      <c r="E85" s="67" t="str">
        <f>IF(RPAinput!D87="","",RPAinput!D87)</f>
        <v>Y</v>
      </c>
      <c r="F85" s="67">
        <f>IF(RPAinput!E87="","",RPAinput!E87)</f>
        <v>0.4</v>
      </c>
      <c r="G85" s="67">
        <f>IF(RPAinput!F87="","",RPAinput!F87)</f>
      </c>
      <c r="H85" s="532" t="str">
        <f t="shared" si="10"/>
        <v>All ND &amp; MinDL&lt;C, MEC=MDL</v>
      </c>
      <c r="I85" s="531">
        <f t="shared" si="11"/>
        <v>0.4</v>
      </c>
      <c r="J85" s="531" t="str">
        <f t="shared" si="12"/>
        <v>MEC&lt;C</v>
      </c>
      <c r="K85" s="68"/>
      <c r="L85" s="67" t="str">
        <f>IF(RPAinput!I87="","",RPAinput!I87)</f>
        <v>Y</v>
      </c>
      <c r="M85" s="67" t="str">
        <f>IF(RPAinput!J87="","",RPAinput!J87)</f>
        <v>Y</v>
      </c>
      <c r="N85" s="67">
        <f>IF(RPAinput!K87="","",RPAinput!K87)</f>
        <v>0.5</v>
      </c>
      <c r="O85" s="528">
        <f>IF(RPAinput!L87="","",RPAinput!L87)</f>
      </c>
      <c r="P85" s="530" t="str">
        <f aca="true" t="shared" si="15" ref="P85:P127">IF(C85="No Criteria","No Criteria",IF(L85="N","No B data",IF(AND(M85="Y",N85&lt;=C85),"B&lt;=C",IF(AND(M85="Y",N85&gt;C85),"All B ND with MinDL&gt;C",IF(O85&lt;=C85,"B&lt;=C",IF(AND(O85&gt;C85,D85="Y",E85="N"),"Need Limit, B&gt;C",IF(O85&gt;C85,"B&gt;C, but no eff detected","ERROR?")))))))</f>
        <v>B&lt;=C</v>
      </c>
      <c r="Q85" s="67" t="str">
        <f>RPAinput!Q87</f>
        <v>No</v>
      </c>
      <c r="R85" s="528">
        <f t="shared" si="13"/>
      </c>
      <c r="S85" s="529" t="str">
        <f t="shared" si="9"/>
        <v>No</v>
      </c>
      <c r="T85" s="526" t="str">
        <f t="shared" si="14"/>
        <v>MEC&lt;C   B&lt;=C</v>
      </c>
    </row>
    <row r="86" spans="1:20" ht="12.75">
      <c r="A86" s="433">
        <f>Criteria!A92</f>
        <v>82</v>
      </c>
      <c r="B86" s="238" t="str">
        <f>Criteria!B92</f>
        <v>2,4-Dinitrotoluene</v>
      </c>
      <c r="C86" s="59">
        <f>Criteria!E92</f>
        <v>9.1</v>
      </c>
      <c r="D86" s="67" t="str">
        <f>IF(RPAinput!C88="","",RPAinput!C88)</f>
        <v>Y</v>
      </c>
      <c r="E86" s="67" t="str">
        <f>IF(RPAinput!D88="","",RPAinput!D88)</f>
        <v>Y</v>
      </c>
      <c r="F86" s="67">
        <f>IF(RPAinput!E88="","",RPAinput!E88)</f>
        <v>0.3</v>
      </c>
      <c r="G86" s="67">
        <f>IF(RPAinput!F88="","",RPAinput!F88)</f>
      </c>
      <c r="H86" s="532" t="str">
        <f t="shared" si="10"/>
        <v>All ND &amp; MinDL&lt;C, MEC=MDL</v>
      </c>
      <c r="I86" s="531">
        <f t="shared" si="11"/>
        <v>0.3</v>
      </c>
      <c r="J86" s="531" t="str">
        <f t="shared" si="12"/>
        <v>MEC&lt;C</v>
      </c>
      <c r="K86" s="68"/>
      <c r="L86" s="67" t="str">
        <f>IF(RPAinput!I88="","",RPAinput!I88)</f>
        <v>Y</v>
      </c>
      <c r="M86" s="67" t="str">
        <f>IF(RPAinput!J88="","",RPAinput!J88)</f>
        <v>Y</v>
      </c>
      <c r="N86" s="67">
        <f>IF(RPAinput!K88="","",RPAinput!K88)</f>
        <v>0.27</v>
      </c>
      <c r="O86" s="528">
        <f>IF(RPAinput!L88="","",RPAinput!L88)</f>
      </c>
      <c r="P86" s="530" t="str">
        <f t="shared" si="15"/>
        <v>B&lt;=C</v>
      </c>
      <c r="Q86" s="67" t="str">
        <f>RPAinput!Q88</f>
        <v>No</v>
      </c>
      <c r="R86" s="528">
        <f t="shared" si="13"/>
      </c>
      <c r="S86" s="529" t="str">
        <f t="shared" si="9"/>
        <v>No</v>
      </c>
      <c r="T86" s="526" t="str">
        <f t="shared" si="14"/>
        <v>MEC&lt;C   B&lt;=C</v>
      </c>
    </row>
    <row r="87" spans="1:20" ht="12.75">
      <c r="A87" s="433">
        <f>Criteria!A93</f>
        <v>83</v>
      </c>
      <c r="B87" s="238" t="str">
        <f>Criteria!B93</f>
        <v>2,6-Dinitrotoluene</v>
      </c>
      <c r="C87" s="57" t="str">
        <f>Criteria!E93</f>
        <v>No Criteria</v>
      </c>
      <c r="D87" s="67" t="str">
        <f>IF(RPAinput!C89="","",RPAinput!C89)</f>
        <v>Y</v>
      </c>
      <c r="E87" s="67" t="str">
        <f>IF(RPAinput!D89="","",RPAinput!D89)</f>
        <v>Y</v>
      </c>
      <c r="F87" s="67">
        <f>IF(RPAinput!E89="","",RPAinput!E89)</f>
        <v>0.3</v>
      </c>
      <c r="G87" s="67">
        <f>IF(RPAinput!F89="","",RPAinput!F89)</f>
      </c>
      <c r="H87" s="532" t="str">
        <f t="shared" si="10"/>
        <v>No Criteria</v>
      </c>
      <c r="I87" s="531" t="str">
        <f t="shared" si="11"/>
        <v>No Criteria</v>
      </c>
      <c r="J87" s="531" t="str">
        <f t="shared" si="12"/>
        <v>No Criteria</v>
      </c>
      <c r="K87" s="68"/>
      <c r="L87" s="67" t="str">
        <f>IF(RPAinput!I89="","",RPAinput!I89)</f>
        <v>Y</v>
      </c>
      <c r="M87" s="67" t="str">
        <f>IF(RPAinput!J89="","",RPAinput!J89)</f>
        <v>Y</v>
      </c>
      <c r="N87" s="67">
        <f>IF(RPAinput!K89="","",RPAinput!K89)</f>
        <v>0.29</v>
      </c>
      <c r="O87" s="528">
        <f>IF(RPAinput!L89="","",RPAinput!L89)</f>
      </c>
      <c r="P87" s="530" t="str">
        <f t="shared" si="15"/>
        <v>No Criteria</v>
      </c>
      <c r="Q87" s="67" t="str">
        <f>RPAinput!Q89</f>
        <v>No</v>
      </c>
      <c r="R87" s="528">
        <f t="shared" si="13"/>
      </c>
      <c r="S87" s="529" t="str">
        <f t="shared" si="9"/>
        <v>Uo</v>
      </c>
      <c r="T87" s="526" t="str">
        <f t="shared" si="14"/>
        <v>No Criteria</v>
      </c>
    </row>
    <row r="88" spans="1:20" ht="12.75">
      <c r="A88" s="433">
        <f>Criteria!A94</f>
        <v>84</v>
      </c>
      <c r="B88" s="238" t="str">
        <f>Criteria!B94</f>
        <v>Di-n-Octyl Phthalate</v>
      </c>
      <c r="C88" s="57" t="str">
        <f>Criteria!E94</f>
        <v>No Criteria</v>
      </c>
      <c r="D88" s="67" t="str">
        <f>IF(RPAinput!C90="","",RPAinput!C90)</f>
        <v>Y</v>
      </c>
      <c r="E88" s="67" t="str">
        <f>IF(RPAinput!D90="","",RPAinput!D90)</f>
        <v>Y</v>
      </c>
      <c r="F88" s="67">
        <f>IF(RPAinput!E90="","",RPAinput!E90)</f>
        <v>0.4</v>
      </c>
      <c r="G88" s="67">
        <f>IF(RPAinput!F90="","",RPAinput!F90)</f>
      </c>
      <c r="H88" s="532" t="str">
        <f t="shared" si="10"/>
        <v>No Criteria</v>
      </c>
      <c r="I88" s="531" t="str">
        <f t="shared" si="11"/>
        <v>No Criteria</v>
      </c>
      <c r="J88" s="531" t="str">
        <f t="shared" si="12"/>
        <v>No Criteria</v>
      </c>
      <c r="K88" s="68"/>
      <c r="L88" s="67" t="str">
        <f>IF(RPAinput!I90="","",RPAinput!I90)</f>
        <v>Y</v>
      </c>
      <c r="M88" s="67" t="str">
        <f>IF(RPAinput!J90="","",RPAinput!J90)</f>
        <v>Y</v>
      </c>
      <c r="N88" s="67">
        <f>IF(RPAinput!K90="","",RPAinput!K90)</f>
        <v>0.38</v>
      </c>
      <c r="O88" s="528">
        <f>IF(RPAinput!L90="","",RPAinput!L90)</f>
      </c>
      <c r="P88" s="530" t="str">
        <f t="shared" si="15"/>
        <v>No Criteria</v>
      </c>
      <c r="Q88" s="67" t="str">
        <f>RPAinput!Q90</f>
        <v>No</v>
      </c>
      <c r="R88" s="528">
        <f t="shared" si="13"/>
      </c>
      <c r="S88" s="529" t="str">
        <f t="shared" si="9"/>
        <v>Uo</v>
      </c>
      <c r="T88" s="526" t="str">
        <f t="shared" si="14"/>
        <v>No Criteria</v>
      </c>
    </row>
    <row r="89" spans="1:20" ht="12.75">
      <c r="A89" s="433">
        <f>Criteria!A95</f>
        <v>85</v>
      </c>
      <c r="B89" s="238" t="str">
        <f>Criteria!B95</f>
        <v>1,2-Diphenylhydrazine</v>
      </c>
      <c r="C89" s="59">
        <f>Criteria!E95</f>
        <v>0.54</v>
      </c>
      <c r="D89" s="67" t="str">
        <f>IF(RPAinput!C91="","",RPAinput!C91)</f>
        <v>Y</v>
      </c>
      <c r="E89" s="67" t="str">
        <f>IF(RPAinput!D91="","",RPAinput!D91)</f>
        <v>Y</v>
      </c>
      <c r="F89" s="67">
        <f>IF(RPAinput!E91="","",RPAinput!E91)</f>
        <v>0.3</v>
      </c>
      <c r="G89" s="67">
        <f>IF(RPAinput!F91="","",RPAinput!F91)</f>
      </c>
      <c r="H89" s="532" t="str">
        <f t="shared" si="10"/>
        <v>All ND &amp; MinDL&lt;C, MEC=MDL</v>
      </c>
      <c r="I89" s="531">
        <f t="shared" si="11"/>
        <v>0.3</v>
      </c>
      <c r="J89" s="531" t="str">
        <f t="shared" si="12"/>
        <v>MEC&lt;C</v>
      </c>
      <c r="K89" s="68"/>
      <c r="L89" s="67" t="str">
        <f>IF(RPAinput!I91="","",RPAinput!I91)</f>
        <v>Y</v>
      </c>
      <c r="M89" s="67" t="str">
        <f>IF(RPAinput!J91="","",RPAinput!J91)</f>
        <v>N</v>
      </c>
      <c r="N89" s="67">
        <f>IF(RPAinput!K91="","",RPAinput!K91)</f>
      </c>
      <c r="O89" s="528">
        <f>IF(RPAinput!L91="","",RPAinput!L91)</f>
        <v>0.0037</v>
      </c>
      <c r="P89" s="530" t="str">
        <f t="shared" si="15"/>
        <v>B&lt;=C</v>
      </c>
      <c r="Q89" s="67" t="str">
        <f>RPAinput!Q91</f>
        <v>No</v>
      </c>
      <c r="R89" s="528">
        <f t="shared" si="13"/>
      </c>
      <c r="S89" s="529" t="str">
        <f t="shared" si="9"/>
        <v>No</v>
      </c>
      <c r="T89" s="526" t="str">
        <f t="shared" si="14"/>
        <v>MEC&lt;C   B&lt;=C</v>
      </c>
    </row>
    <row r="90" spans="1:20" ht="12.75">
      <c r="A90" s="433">
        <f>Criteria!A96</f>
        <v>86</v>
      </c>
      <c r="B90" s="238" t="str">
        <f>Criteria!B96</f>
        <v>Fluoranthene</v>
      </c>
      <c r="C90" s="57">
        <f>Criteria!E96</f>
        <v>370</v>
      </c>
      <c r="D90" s="67" t="str">
        <f>IF(RPAinput!C92="","",RPAinput!C92)</f>
        <v>Y</v>
      </c>
      <c r="E90" s="67" t="str">
        <f>IF(RPAinput!D92="","",RPAinput!D92)</f>
        <v>Y</v>
      </c>
      <c r="F90" s="67">
        <f>IF(RPAinput!E92="","",RPAinput!E92)</f>
        <v>0.029</v>
      </c>
      <c r="G90" s="67">
        <f>IF(RPAinput!F92="","",RPAinput!F92)</f>
      </c>
      <c r="H90" s="532" t="str">
        <f t="shared" si="10"/>
        <v>All ND &amp; MinDL&lt;C, MEC=MDL</v>
      </c>
      <c r="I90" s="531">
        <f t="shared" si="11"/>
        <v>0.029</v>
      </c>
      <c r="J90" s="531" t="str">
        <f t="shared" si="12"/>
        <v>MEC&lt;C</v>
      </c>
      <c r="K90" s="68"/>
      <c r="L90" s="67" t="str">
        <f>IF(RPAinput!I92="","",RPAinput!I92)</f>
        <v>Y</v>
      </c>
      <c r="M90" s="67" t="str">
        <f>IF(RPAinput!J92="","",RPAinput!J92)</f>
        <v>N</v>
      </c>
      <c r="N90" s="67">
        <f>IF(RPAinput!K92="","",RPAinput!K92)</f>
      </c>
      <c r="O90" s="528">
        <f>IF(RPAinput!L92="","",RPAinput!L92)</f>
        <v>0.011</v>
      </c>
      <c r="P90" s="530" t="str">
        <f t="shared" si="15"/>
        <v>B&lt;=C</v>
      </c>
      <c r="Q90" s="67" t="str">
        <f>RPAinput!Q92</f>
        <v>No</v>
      </c>
      <c r="R90" s="528">
        <f t="shared" si="13"/>
      </c>
      <c r="S90" s="529" t="str">
        <f t="shared" si="9"/>
        <v>No</v>
      </c>
      <c r="T90" s="526" t="str">
        <f t="shared" si="14"/>
        <v>MEC&lt;C   B&lt;=C</v>
      </c>
    </row>
    <row r="91" spans="1:20" ht="12.75">
      <c r="A91" s="433">
        <f>Criteria!A97</f>
        <v>87</v>
      </c>
      <c r="B91" s="238" t="str">
        <f>Criteria!B97</f>
        <v>Fluorene</v>
      </c>
      <c r="C91" s="57">
        <f>Criteria!E97</f>
        <v>14000</v>
      </c>
      <c r="D91" s="67" t="str">
        <f>IF(RPAinput!C93="","",RPAinput!C93)</f>
        <v>Y</v>
      </c>
      <c r="E91" s="67" t="str">
        <f>IF(RPAinput!D93="","",RPAinput!D93)</f>
        <v>Y</v>
      </c>
      <c r="F91" s="67">
        <f>IF(RPAinput!E93="","",RPAinput!E93)</f>
        <v>0.02</v>
      </c>
      <c r="G91" s="67">
        <f>IF(RPAinput!F93="","",RPAinput!F93)</f>
      </c>
      <c r="H91" s="532" t="str">
        <f t="shared" si="10"/>
        <v>All ND &amp; MinDL&lt;C, MEC=MDL</v>
      </c>
      <c r="I91" s="531">
        <f t="shared" si="11"/>
        <v>0.02</v>
      </c>
      <c r="J91" s="531" t="str">
        <f t="shared" si="12"/>
        <v>MEC&lt;C</v>
      </c>
      <c r="K91" s="68"/>
      <c r="L91" s="67" t="str">
        <f>IF(RPAinput!I93="","",RPAinput!I93)</f>
        <v>Y</v>
      </c>
      <c r="M91" s="67" t="str">
        <f>IF(RPAinput!J93="","",RPAinput!J93)</f>
        <v>N</v>
      </c>
      <c r="N91" s="67">
        <f>IF(RPAinput!K93="","",RPAinput!K93)</f>
      </c>
      <c r="O91" s="528">
        <f>IF(RPAinput!L93="","",RPAinput!L93)</f>
        <v>0.0020800000000000003</v>
      </c>
      <c r="P91" s="530" t="str">
        <f t="shared" si="15"/>
        <v>B&lt;=C</v>
      </c>
      <c r="Q91" s="67" t="str">
        <f>RPAinput!Q93</f>
        <v>No</v>
      </c>
      <c r="R91" s="528">
        <f t="shared" si="13"/>
      </c>
      <c r="S91" s="529" t="str">
        <f t="shared" si="9"/>
        <v>No</v>
      </c>
      <c r="T91" s="526" t="str">
        <f t="shared" si="14"/>
        <v>MEC&lt;C   B&lt;=C</v>
      </c>
    </row>
    <row r="92" spans="1:20" ht="12.75">
      <c r="A92" s="433">
        <f>Criteria!A98</f>
        <v>88</v>
      </c>
      <c r="B92" s="238" t="str">
        <f>Criteria!B98</f>
        <v>Hexachlorobenzene</v>
      </c>
      <c r="C92" s="62">
        <f>Criteria!E98</f>
        <v>0.00077</v>
      </c>
      <c r="D92" s="67" t="str">
        <f>IF(RPAinput!C94="","",RPAinput!C94)</f>
        <v>Y</v>
      </c>
      <c r="E92" s="67" t="str">
        <f>IF(RPAinput!D94="","",RPAinput!D94)</f>
        <v>Y</v>
      </c>
      <c r="F92" s="67">
        <f>IF(RPAinput!E94="","",RPAinput!E94)</f>
        <v>0.4</v>
      </c>
      <c r="G92" s="67">
        <f>IF(RPAinput!F94="","",RPAinput!F94)</f>
      </c>
      <c r="H92" s="532" t="str">
        <f t="shared" si="10"/>
        <v>All ND, MinDL&gt;C, do IM</v>
      </c>
      <c r="I92" s="531">
        <f t="shared" si="11"/>
      </c>
      <c r="J92" s="531" t="str">
        <f t="shared" si="12"/>
        <v>Eff all ND with MinDL&gt;C</v>
      </c>
      <c r="K92" s="68"/>
      <c r="L92" s="67" t="str">
        <f>IF(RPAinput!I94="","",RPAinput!I94)</f>
        <v>Y</v>
      </c>
      <c r="M92" s="67" t="str">
        <f>IF(RPAinput!J94="","",RPAinput!J94)</f>
        <v>N</v>
      </c>
      <c r="N92" s="67">
        <f>IF(RPAinput!K94="","",RPAinput!K94)</f>
      </c>
      <c r="O92" s="528">
        <f>IF(RPAinput!L94="","",RPAinput!L94)</f>
        <v>2.02E-05</v>
      </c>
      <c r="P92" s="530" t="str">
        <f t="shared" si="15"/>
        <v>B&lt;=C</v>
      </c>
      <c r="Q92" s="67" t="str">
        <f>RPAinput!Q94</f>
        <v>No</v>
      </c>
      <c r="R92" s="528" t="str">
        <f t="shared" si="13"/>
        <v>Yes</v>
      </c>
      <c r="S92" s="529" t="str">
        <f t="shared" si="9"/>
        <v>Ud</v>
      </c>
      <c r="T92" s="526" t="str">
        <f t="shared" si="14"/>
        <v>Eff all ND with MinDL&gt;C   B&lt;=C</v>
      </c>
    </row>
    <row r="93" spans="1:20" ht="12.75">
      <c r="A93" s="433">
        <f>Criteria!A99</f>
        <v>89</v>
      </c>
      <c r="B93" s="238" t="str">
        <f>Criteria!B99</f>
        <v>Hexachlorobutadiene</v>
      </c>
      <c r="C93" s="57">
        <f>Criteria!E99</f>
        <v>50</v>
      </c>
      <c r="D93" s="67" t="str">
        <f>IF(RPAinput!C95="","",RPAinput!C95)</f>
        <v>Y</v>
      </c>
      <c r="E93" s="67" t="str">
        <f>IF(RPAinput!D95="","",RPAinput!D95)</f>
        <v>Y</v>
      </c>
      <c r="F93" s="67">
        <f>IF(RPAinput!E95="","",RPAinput!E95)</f>
        <v>0.2</v>
      </c>
      <c r="G93" s="67">
        <f>IF(RPAinput!F95="","",RPAinput!F95)</f>
      </c>
      <c r="H93" s="532" t="str">
        <f t="shared" si="10"/>
        <v>All ND &amp; MinDL&lt;C, MEC=MDL</v>
      </c>
      <c r="I93" s="531">
        <f t="shared" si="11"/>
        <v>0.2</v>
      </c>
      <c r="J93" s="531" t="str">
        <f t="shared" si="12"/>
        <v>MEC&lt;C</v>
      </c>
      <c r="K93" s="68"/>
      <c r="L93" s="67" t="str">
        <f>IF(RPAinput!I95="","",RPAinput!I95)</f>
        <v>Y</v>
      </c>
      <c r="M93" s="67" t="str">
        <f>IF(RPAinput!J95="","",RPAinput!J95)</f>
        <v>Y</v>
      </c>
      <c r="N93" s="67">
        <f>IF(RPAinput!K95="","",RPAinput!K95)</f>
        <v>0.3</v>
      </c>
      <c r="O93" s="528">
        <f>IF(RPAinput!L95="","",RPAinput!L95)</f>
      </c>
      <c r="P93" s="530" t="str">
        <f t="shared" si="15"/>
        <v>B&lt;=C</v>
      </c>
      <c r="Q93" s="67" t="str">
        <f>RPAinput!Q95</f>
        <v>No</v>
      </c>
      <c r="R93" s="528">
        <f t="shared" si="13"/>
      </c>
      <c r="S93" s="529" t="str">
        <f t="shared" si="9"/>
        <v>No</v>
      </c>
      <c r="T93" s="526" t="str">
        <f t="shared" si="14"/>
        <v>MEC&lt;C   B&lt;=C</v>
      </c>
    </row>
    <row r="94" spans="1:20" ht="12.75">
      <c r="A94" s="433">
        <f>Criteria!A100</f>
        <v>90</v>
      </c>
      <c r="B94" s="238" t="str">
        <f>Criteria!B100</f>
        <v>Hexachlorocyclopentadiene</v>
      </c>
      <c r="C94" s="57">
        <f>Criteria!E100</f>
        <v>17000</v>
      </c>
      <c r="D94" s="67" t="str">
        <f>IF(RPAinput!C96="","",RPAinput!C96)</f>
        <v>Y</v>
      </c>
      <c r="E94" s="67" t="str">
        <f>IF(RPAinput!D96="","",RPAinput!D96)</f>
        <v>Y</v>
      </c>
      <c r="F94" s="67">
        <f>IF(RPAinput!E96="","",RPAinput!E96)</f>
        <v>0.1</v>
      </c>
      <c r="G94" s="67">
        <f>IF(RPAinput!F96="","",RPAinput!F96)</f>
      </c>
      <c r="H94" s="532" t="str">
        <f t="shared" si="10"/>
        <v>All ND &amp; MinDL&lt;C, MEC=MDL</v>
      </c>
      <c r="I94" s="531">
        <f t="shared" si="11"/>
        <v>0.1</v>
      </c>
      <c r="J94" s="531" t="str">
        <f t="shared" si="12"/>
        <v>MEC&lt;C</v>
      </c>
      <c r="K94" s="68"/>
      <c r="L94" s="67" t="str">
        <f>IF(RPAinput!I96="","",RPAinput!I96)</f>
        <v>Y</v>
      </c>
      <c r="M94" s="67" t="str">
        <f>IF(RPAinput!J96="","",RPAinput!J96)</f>
        <v>Y</v>
      </c>
      <c r="N94" s="67">
        <f>IF(RPAinput!K96="","",RPAinput!K96)</f>
        <v>0.31</v>
      </c>
      <c r="O94" s="528">
        <f>IF(RPAinput!L96="","",RPAinput!L96)</f>
      </c>
      <c r="P94" s="530" t="str">
        <f t="shared" si="15"/>
        <v>B&lt;=C</v>
      </c>
      <c r="Q94" s="67" t="str">
        <f>RPAinput!Q96</f>
        <v>No</v>
      </c>
      <c r="R94" s="528">
        <f t="shared" si="13"/>
      </c>
      <c r="S94" s="529" t="str">
        <f t="shared" si="9"/>
        <v>No</v>
      </c>
      <c r="T94" s="526" t="str">
        <f t="shared" si="14"/>
        <v>MEC&lt;C   B&lt;=C</v>
      </c>
    </row>
    <row r="95" spans="1:20" ht="12.75">
      <c r="A95" s="433">
        <f>Criteria!A101</f>
        <v>91</v>
      </c>
      <c r="B95" s="238" t="str">
        <f>Criteria!B101</f>
        <v>Hexachloroethane</v>
      </c>
      <c r="C95" s="59">
        <f>Criteria!E101</f>
        <v>8.9</v>
      </c>
      <c r="D95" s="67" t="str">
        <f>IF(RPAinput!C97="","",RPAinput!C97)</f>
        <v>Y</v>
      </c>
      <c r="E95" s="67" t="str">
        <f>IF(RPAinput!D97="","",RPAinput!D97)</f>
        <v>Y</v>
      </c>
      <c r="F95" s="67">
        <f>IF(RPAinput!E97="","",RPAinput!E97)</f>
        <v>0.2</v>
      </c>
      <c r="G95" s="67">
        <f>IF(RPAinput!F97="","",RPAinput!F97)</f>
      </c>
      <c r="H95" s="532" t="str">
        <f t="shared" si="10"/>
        <v>All ND &amp; MinDL&lt;C, MEC=MDL</v>
      </c>
      <c r="I95" s="531">
        <f t="shared" si="11"/>
        <v>0.2</v>
      </c>
      <c r="J95" s="531" t="str">
        <f t="shared" si="12"/>
        <v>MEC&lt;C</v>
      </c>
      <c r="K95" s="68"/>
      <c r="L95" s="67" t="str">
        <f>IF(RPAinput!I97="","",RPAinput!I97)</f>
        <v>Y</v>
      </c>
      <c r="M95" s="67" t="str">
        <f>IF(RPAinput!J97="","",RPAinput!J97)</f>
        <v>Y</v>
      </c>
      <c r="N95" s="67">
        <f>IF(RPAinput!K97="","",RPAinput!K97)</f>
        <v>0.2</v>
      </c>
      <c r="O95" s="528">
        <f>IF(RPAinput!L97="","",RPAinput!L97)</f>
      </c>
      <c r="P95" s="530" t="str">
        <f t="shared" si="15"/>
        <v>B&lt;=C</v>
      </c>
      <c r="Q95" s="67" t="str">
        <f>RPAinput!Q97</f>
        <v>No</v>
      </c>
      <c r="R95" s="528">
        <f t="shared" si="13"/>
      </c>
      <c r="S95" s="529" t="str">
        <f t="shared" si="9"/>
        <v>No</v>
      </c>
      <c r="T95" s="526" t="str">
        <f t="shared" si="14"/>
        <v>MEC&lt;C   B&lt;=C</v>
      </c>
    </row>
    <row r="96" spans="1:20" ht="12.75">
      <c r="A96" s="433">
        <f>Criteria!A102</f>
        <v>92</v>
      </c>
      <c r="B96" s="238" t="str">
        <f>Criteria!B102</f>
        <v>Indeno(1,2,3-cd) Pyrene</v>
      </c>
      <c r="C96" s="60">
        <f>Criteria!E102</f>
        <v>0.049</v>
      </c>
      <c r="D96" s="67" t="str">
        <f>IF(RPAinput!C98="","",RPAinput!C98)</f>
        <v>Y</v>
      </c>
      <c r="E96" s="67" t="str">
        <f>IF(RPAinput!D98="","",RPAinput!D98)</f>
        <v>Y</v>
      </c>
      <c r="F96" s="67">
        <f>IF(RPAinput!E98="","",RPAinput!E98)</f>
        <v>0.029</v>
      </c>
      <c r="G96" s="67">
        <f>IF(RPAinput!F98="","",RPAinput!F98)</f>
      </c>
      <c r="H96" s="532" t="str">
        <f t="shared" si="10"/>
        <v>All ND &amp; MinDL&lt;C, MEC=MDL</v>
      </c>
      <c r="I96" s="531">
        <f t="shared" si="11"/>
        <v>0.029</v>
      </c>
      <c r="J96" s="531" t="str">
        <f t="shared" si="12"/>
        <v>MEC&lt;C</v>
      </c>
      <c r="K96" s="68"/>
      <c r="L96" s="67" t="str">
        <f>IF(RPAinput!I98="","",RPAinput!I98)</f>
        <v>Y</v>
      </c>
      <c r="M96" s="67" t="str">
        <f>IF(RPAinput!J98="","",RPAinput!J98)</f>
        <v>N</v>
      </c>
      <c r="N96" s="67">
        <f>IF(RPAinput!K98="","",RPAinput!K98)</f>
      </c>
      <c r="O96" s="528">
        <f>IF(RPAinput!L98="","",RPAinput!L98)</f>
        <v>0.004</v>
      </c>
      <c r="P96" s="530" t="str">
        <f t="shared" si="15"/>
        <v>B&lt;=C</v>
      </c>
      <c r="Q96" s="67" t="str">
        <f>RPAinput!Q98</f>
        <v>No</v>
      </c>
      <c r="R96" s="528">
        <f t="shared" si="13"/>
      </c>
      <c r="S96" s="529" t="str">
        <f t="shared" si="9"/>
        <v>No</v>
      </c>
      <c r="T96" s="526" t="str">
        <f t="shared" si="14"/>
        <v>MEC&lt;C   B&lt;=C</v>
      </c>
    </row>
    <row r="97" spans="1:20" ht="12.75">
      <c r="A97" s="433">
        <f>Criteria!A103</f>
        <v>93</v>
      </c>
      <c r="B97" s="238" t="str">
        <f>Criteria!B103</f>
        <v>Isophorone</v>
      </c>
      <c r="C97" s="57">
        <f>Criteria!E103</f>
        <v>600</v>
      </c>
      <c r="D97" s="67" t="str">
        <f>IF(RPAinput!C99="","",RPAinput!C99)</f>
        <v>Y</v>
      </c>
      <c r="E97" s="67" t="str">
        <f>IF(RPAinput!D99="","",RPAinput!D99)</f>
        <v>Y</v>
      </c>
      <c r="F97" s="67">
        <f>IF(RPAinput!E99="","",RPAinput!E99)</f>
        <v>0.3</v>
      </c>
      <c r="G97" s="67">
        <f>IF(RPAinput!F99="","",RPAinput!F99)</f>
      </c>
      <c r="H97" s="532" t="str">
        <f t="shared" si="10"/>
        <v>All ND &amp; MinDL&lt;C, MEC=MDL</v>
      </c>
      <c r="I97" s="531">
        <f t="shared" si="11"/>
        <v>0.3</v>
      </c>
      <c r="J97" s="531" t="str">
        <f t="shared" si="12"/>
        <v>MEC&lt;C</v>
      </c>
      <c r="K97" s="68"/>
      <c r="L97" s="67" t="str">
        <f>IF(RPAinput!I99="","",RPAinput!I99)</f>
        <v>Y</v>
      </c>
      <c r="M97" s="67" t="str">
        <f>IF(RPAinput!J99="","",RPAinput!J99)</f>
        <v>Y</v>
      </c>
      <c r="N97" s="67">
        <f>IF(RPAinput!K99="","",RPAinput!K99)</f>
        <v>0.3</v>
      </c>
      <c r="O97" s="528">
        <f>IF(RPAinput!L99="","",RPAinput!L99)</f>
      </c>
      <c r="P97" s="530" t="str">
        <f t="shared" si="15"/>
        <v>B&lt;=C</v>
      </c>
      <c r="Q97" s="67" t="str">
        <f>RPAinput!Q99</f>
        <v>No</v>
      </c>
      <c r="R97" s="528">
        <f t="shared" si="13"/>
      </c>
      <c r="S97" s="529" t="str">
        <f t="shared" si="9"/>
        <v>No</v>
      </c>
      <c r="T97" s="526" t="str">
        <f t="shared" si="14"/>
        <v>MEC&lt;C   B&lt;=C</v>
      </c>
    </row>
    <row r="98" spans="1:20" ht="12.75">
      <c r="A98" s="433">
        <f>Criteria!A104</f>
        <v>94</v>
      </c>
      <c r="B98" s="238" t="str">
        <f>Criteria!B104</f>
        <v>naphthalene</v>
      </c>
      <c r="C98" s="57" t="str">
        <f>Criteria!E104</f>
        <v>No Criteria</v>
      </c>
      <c r="D98" s="67" t="str">
        <f>IF(RPAinput!C100="","",RPAinput!C100)</f>
        <v>Y</v>
      </c>
      <c r="E98" s="67" t="str">
        <f>IF(RPAinput!D100="","",RPAinput!D100)</f>
        <v>Y</v>
      </c>
      <c r="F98" s="67">
        <f>IF(RPAinput!E100="","",RPAinput!E100)</f>
        <v>0.019</v>
      </c>
      <c r="G98" s="67">
        <f>IF(RPAinput!F100="","",RPAinput!F100)</f>
      </c>
      <c r="H98" s="532" t="str">
        <f t="shared" si="10"/>
        <v>No Criteria</v>
      </c>
      <c r="I98" s="531" t="str">
        <f t="shared" si="11"/>
        <v>No Criteria</v>
      </c>
      <c r="J98" s="531" t="str">
        <f t="shared" si="12"/>
        <v>No Criteria</v>
      </c>
      <c r="K98" s="68"/>
      <c r="L98" s="67" t="str">
        <f>IF(RPAinput!I100="","",RPAinput!I100)</f>
        <v>Y</v>
      </c>
      <c r="M98" s="67" t="str">
        <f>IF(RPAinput!J100="","",RPAinput!J100)</f>
        <v>N</v>
      </c>
      <c r="N98" s="67">
        <f>IF(RPAinput!K100="","",RPAinput!K100)</f>
      </c>
      <c r="O98" s="528">
        <f>IF(RPAinput!L100="","",RPAinput!L100)</f>
        <v>0.0023</v>
      </c>
      <c r="P98" s="530" t="str">
        <f t="shared" si="15"/>
        <v>No Criteria</v>
      </c>
      <c r="Q98" s="67" t="str">
        <f>RPAinput!Q100</f>
        <v>No</v>
      </c>
      <c r="R98" s="528">
        <f t="shared" si="13"/>
      </c>
      <c r="S98" s="529" t="str">
        <f t="shared" si="9"/>
        <v>Uo</v>
      </c>
      <c r="T98" s="526" t="str">
        <f t="shared" si="14"/>
        <v>No Criteria</v>
      </c>
    </row>
    <row r="99" spans="1:20" ht="12.75">
      <c r="A99" s="433">
        <f>Criteria!A105</f>
        <v>95</v>
      </c>
      <c r="B99" s="238" t="str">
        <f>Criteria!B105</f>
        <v>Nitrobenzene</v>
      </c>
      <c r="C99" s="57">
        <f>Criteria!E105</f>
        <v>1900</v>
      </c>
      <c r="D99" s="67" t="str">
        <f>IF(RPAinput!C101="","",RPAinput!C101)</f>
        <v>Y</v>
      </c>
      <c r="E99" s="67" t="str">
        <f>IF(RPAinput!D101="","",RPAinput!D101)</f>
        <v>Y</v>
      </c>
      <c r="F99" s="67">
        <f>IF(RPAinput!E101="","",RPAinput!E101)</f>
        <v>0.3</v>
      </c>
      <c r="G99" s="67">
        <f>IF(RPAinput!F101="","",RPAinput!F101)</f>
      </c>
      <c r="H99" s="532" t="str">
        <f t="shared" si="10"/>
        <v>All ND &amp; MinDL&lt;C, MEC=MDL</v>
      </c>
      <c r="I99" s="531">
        <f t="shared" si="11"/>
        <v>0.3</v>
      </c>
      <c r="J99" s="531" t="str">
        <f t="shared" si="12"/>
        <v>MEC&lt;C</v>
      </c>
      <c r="K99" s="68"/>
      <c r="L99" s="67" t="str">
        <f>IF(RPAinput!I101="","",RPAinput!I101)</f>
        <v>Y</v>
      </c>
      <c r="M99" s="67" t="str">
        <f>IF(RPAinput!J101="","",RPAinput!J101)</f>
        <v>Y</v>
      </c>
      <c r="N99" s="67">
        <f>IF(RPAinput!K101="","",RPAinput!K101)</f>
        <v>0.25</v>
      </c>
      <c r="O99" s="528">
        <f>IF(RPAinput!L101="","",RPAinput!L101)</f>
      </c>
      <c r="P99" s="530" t="str">
        <f t="shared" si="15"/>
        <v>B&lt;=C</v>
      </c>
      <c r="Q99" s="67" t="str">
        <f>RPAinput!Q101</f>
        <v>No</v>
      </c>
      <c r="R99" s="528">
        <f t="shared" si="13"/>
      </c>
      <c r="S99" s="529" t="str">
        <f t="shared" si="9"/>
        <v>No</v>
      </c>
      <c r="T99" s="526" t="str">
        <f t="shared" si="14"/>
        <v>MEC&lt;C   B&lt;=C</v>
      </c>
    </row>
    <row r="100" spans="1:20" ht="12.75">
      <c r="A100" s="433">
        <f>Criteria!A106</f>
        <v>96</v>
      </c>
      <c r="B100" s="238" t="str">
        <f>Criteria!B106</f>
        <v>N-Nitrosodimethylamine</v>
      </c>
      <c r="C100" s="59">
        <f>Criteria!E106</f>
        <v>8.1</v>
      </c>
      <c r="D100" s="67" t="str">
        <f>IF(RPAinput!C102="","",RPAinput!C102)</f>
        <v>Y</v>
      </c>
      <c r="E100" s="67" t="str">
        <f>IF(RPAinput!D102="","",RPAinput!D102)</f>
        <v>Y</v>
      </c>
      <c r="F100" s="67">
        <f>IF(RPAinput!E102="","",RPAinput!E102)</f>
        <v>0.4</v>
      </c>
      <c r="G100" s="67">
        <f>IF(RPAinput!F102="","",RPAinput!F102)</f>
      </c>
      <c r="H100" s="532" t="str">
        <f t="shared" si="10"/>
        <v>All ND &amp; MinDL&lt;C, MEC=MDL</v>
      </c>
      <c r="I100" s="531">
        <f t="shared" si="11"/>
        <v>0.4</v>
      </c>
      <c r="J100" s="531" t="str">
        <f t="shared" si="12"/>
        <v>MEC&lt;C</v>
      </c>
      <c r="K100" s="68"/>
      <c r="L100" s="67" t="str">
        <f>IF(RPAinput!I102="","",RPAinput!I102)</f>
        <v>Y</v>
      </c>
      <c r="M100" s="67" t="str">
        <f>IF(RPAinput!J102="","",RPAinput!J102)</f>
        <v>Y</v>
      </c>
      <c r="N100" s="67">
        <f>IF(RPAinput!K102="","",RPAinput!K102)</f>
        <v>0.3</v>
      </c>
      <c r="O100" s="528">
        <f>IF(RPAinput!L102="","",RPAinput!L102)</f>
      </c>
      <c r="P100" s="530" t="str">
        <f t="shared" si="15"/>
        <v>B&lt;=C</v>
      </c>
      <c r="Q100" s="67" t="str">
        <f>RPAinput!Q102</f>
        <v>No</v>
      </c>
      <c r="R100" s="528">
        <f t="shared" si="13"/>
      </c>
      <c r="S100" s="529" t="str">
        <f aca="true" t="shared" si="16" ref="S100:S127">IF(C100="No Criteria","Uo",IF(OR(LEFT(J100,4)="Need",LEFT(P100,4)="Need",Q100="Yes"),"Yes",IF(OR(D100="N",L100="N",AND(E100="Y",F100&gt;C100)),"Ud","No")))</f>
        <v>No</v>
      </c>
      <c r="T100" s="526" t="str">
        <f t="shared" si="14"/>
        <v>MEC&lt;C   B&lt;=C</v>
      </c>
    </row>
    <row r="101" spans="1:20" ht="12.75">
      <c r="A101" s="433">
        <f>Criteria!A107</f>
        <v>97</v>
      </c>
      <c r="B101" s="238" t="str">
        <f>Criteria!B107</f>
        <v>N-Nitrosodi-n-Propylamine</v>
      </c>
      <c r="C101" s="59">
        <f>Criteria!E107</f>
        <v>1.4</v>
      </c>
      <c r="D101" s="67" t="str">
        <f>IF(RPAinput!C103="","",RPAinput!C103)</f>
        <v>Y</v>
      </c>
      <c r="E101" s="67" t="str">
        <f>IF(RPAinput!D103="","",RPAinput!D103)</f>
        <v>Y</v>
      </c>
      <c r="F101" s="67">
        <f>IF(RPAinput!E103="","",RPAinput!E103)</f>
        <v>0.3</v>
      </c>
      <c r="G101" s="67">
        <f>IF(RPAinput!F103="","",RPAinput!F103)</f>
      </c>
      <c r="H101" s="532" t="str">
        <f t="shared" si="10"/>
        <v>All ND &amp; MinDL&lt;C, MEC=MDL</v>
      </c>
      <c r="I101" s="531">
        <f t="shared" si="11"/>
        <v>0.3</v>
      </c>
      <c r="J101" s="531" t="str">
        <f t="shared" si="12"/>
        <v>MEC&lt;C</v>
      </c>
      <c r="K101" s="68"/>
      <c r="L101" s="67" t="str">
        <f>IF(RPAinput!I103="","",RPAinput!I103)</f>
        <v>Y</v>
      </c>
      <c r="M101" s="67" t="str">
        <f>IF(RPAinput!J103="","",RPAinput!J103)</f>
        <v>Y</v>
      </c>
      <c r="N101" s="67">
        <f>IF(RPAinput!K103="","",RPAinput!K103)</f>
        <v>0.001</v>
      </c>
      <c r="O101" s="528">
        <f>IF(RPAinput!L103="","",RPAinput!L103)</f>
      </c>
      <c r="P101" s="530" t="str">
        <f t="shared" si="15"/>
        <v>B&lt;=C</v>
      </c>
      <c r="Q101" s="67" t="str">
        <f>RPAinput!Q103</f>
        <v>No</v>
      </c>
      <c r="R101" s="528">
        <f t="shared" si="13"/>
      </c>
      <c r="S101" s="529" t="str">
        <f t="shared" si="16"/>
        <v>No</v>
      </c>
      <c r="T101" s="526" t="str">
        <f t="shared" si="14"/>
        <v>MEC&lt;C   B&lt;=C</v>
      </c>
    </row>
    <row r="102" spans="1:20" ht="12.75">
      <c r="A102" s="433">
        <f>Criteria!A108</f>
        <v>98</v>
      </c>
      <c r="B102" s="238" t="str">
        <f>Criteria!B108</f>
        <v>N-Nitrosodiphenylamine</v>
      </c>
      <c r="C102" s="57">
        <f>Criteria!E108</f>
        <v>16</v>
      </c>
      <c r="D102" s="67" t="str">
        <f>IF(RPAinput!C104="","",RPAinput!C104)</f>
        <v>Y</v>
      </c>
      <c r="E102" s="67" t="str">
        <f>IF(RPAinput!D104="","",RPAinput!D104)</f>
        <v>Y</v>
      </c>
      <c r="F102" s="67">
        <f>IF(RPAinput!E104="","",RPAinput!E104)</f>
        <v>0.4</v>
      </c>
      <c r="G102" s="67">
        <f>IF(RPAinput!F104="","",RPAinput!F104)</f>
      </c>
      <c r="H102" s="532" t="str">
        <f t="shared" si="10"/>
        <v>All ND &amp; MinDL&lt;C, MEC=MDL</v>
      </c>
      <c r="I102" s="531">
        <f t="shared" si="11"/>
        <v>0.4</v>
      </c>
      <c r="J102" s="531" t="str">
        <f t="shared" si="12"/>
        <v>MEC&lt;C</v>
      </c>
      <c r="K102" s="68"/>
      <c r="L102" s="67" t="str">
        <f>IF(RPAinput!I104="","",RPAinput!I104)</f>
        <v>Y</v>
      </c>
      <c r="M102" s="67" t="str">
        <f>IF(RPAinput!J104="","",RPAinput!J104)</f>
        <v>Y</v>
      </c>
      <c r="N102" s="67">
        <f>IF(RPAinput!K104="","",RPAinput!K104)</f>
        <v>0.001</v>
      </c>
      <c r="O102" s="528">
        <f>IF(RPAinput!L104="","",RPAinput!L104)</f>
      </c>
      <c r="P102" s="530" t="str">
        <f t="shared" si="15"/>
        <v>B&lt;=C</v>
      </c>
      <c r="Q102" s="67" t="str">
        <f>RPAinput!Q104</f>
        <v>No</v>
      </c>
      <c r="R102" s="528">
        <f t="shared" si="13"/>
      </c>
      <c r="S102" s="529" t="str">
        <f t="shared" si="16"/>
        <v>No</v>
      </c>
      <c r="T102" s="526" t="str">
        <f t="shared" si="14"/>
        <v>MEC&lt;C   B&lt;=C</v>
      </c>
    </row>
    <row r="103" spans="1:20" ht="12.75">
      <c r="A103" s="433">
        <f>Criteria!A109</f>
        <v>99</v>
      </c>
      <c r="B103" s="238" t="str">
        <f>Criteria!B109</f>
        <v>Phenanthrene</v>
      </c>
      <c r="C103" s="57" t="str">
        <f>Criteria!E109</f>
        <v>No Criteria</v>
      </c>
      <c r="D103" s="67" t="str">
        <f>IF(RPAinput!C105="","",RPAinput!C105)</f>
        <v>Y</v>
      </c>
      <c r="E103" s="67" t="str">
        <f>IF(RPAinput!D105="","",RPAinput!D105)</f>
        <v>Y</v>
      </c>
      <c r="F103" s="67">
        <f>IF(RPAinput!E105="","",RPAinput!E105)</f>
        <v>0.029</v>
      </c>
      <c r="G103" s="67">
        <f>IF(RPAinput!F105="","",RPAinput!F105)</f>
      </c>
      <c r="H103" s="532" t="str">
        <f t="shared" si="10"/>
        <v>No Criteria</v>
      </c>
      <c r="I103" s="531" t="str">
        <f t="shared" si="11"/>
        <v>No Criteria</v>
      </c>
      <c r="J103" s="531" t="str">
        <f t="shared" si="12"/>
        <v>No Criteria</v>
      </c>
      <c r="K103" s="68"/>
      <c r="L103" s="67" t="str">
        <f>IF(RPAinput!I105="","",RPAinput!I105)</f>
        <v>Y</v>
      </c>
      <c r="M103" s="67" t="str">
        <f>IF(RPAinput!J105="","",RPAinput!J105)</f>
        <v>N</v>
      </c>
      <c r="N103" s="67">
        <f>IF(RPAinput!K105="","",RPAinput!K105)</f>
      </c>
      <c r="O103" s="528">
        <f>IF(RPAinput!L105="","",RPAinput!L105)</f>
        <v>0.0060999999999999995</v>
      </c>
      <c r="P103" s="530" t="str">
        <f t="shared" si="15"/>
        <v>No Criteria</v>
      </c>
      <c r="Q103" s="67" t="str">
        <f>RPAinput!Q105</f>
        <v>No</v>
      </c>
      <c r="R103" s="528">
        <f t="shared" si="13"/>
      </c>
      <c r="S103" s="529" t="str">
        <f t="shared" si="16"/>
        <v>Uo</v>
      </c>
      <c r="T103" s="526" t="str">
        <f t="shared" si="14"/>
        <v>No Criteria</v>
      </c>
    </row>
    <row r="104" spans="1:20" ht="12.75">
      <c r="A104" s="433">
        <f>Criteria!A110</f>
        <v>100</v>
      </c>
      <c r="B104" s="238" t="str">
        <f>Criteria!B110</f>
        <v>Pyrene</v>
      </c>
      <c r="C104" s="57">
        <f>Criteria!E110</f>
        <v>11000</v>
      </c>
      <c r="D104" s="67" t="str">
        <f>IF(RPAinput!C106="","",RPAinput!C106)</f>
        <v>Y</v>
      </c>
      <c r="E104" s="67" t="str">
        <f>IF(RPAinput!D106="","",RPAinput!D106)</f>
        <v>Y</v>
      </c>
      <c r="F104" s="67">
        <f>IF(RPAinput!E106="","",RPAinput!E106)</f>
        <v>0.029</v>
      </c>
      <c r="G104" s="67">
        <f>IF(RPAinput!F106="","",RPAinput!F106)</f>
      </c>
      <c r="H104" s="532" t="str">
        <f t="shared" si="10"/>
        <v>All ND &amp; MinDL&lt;C, MEC=MDL</v>
      </c>
      <c r="I104" s="531">
        <f t="shared" si="11"/>
        <v>0.029</v>
      </c>
      <c r="J104" s="531" t="str">
        <f t="shared" si="12"/>
        <v>MEC&lt;C</v>
      </c>
      <c r="K104" s="68"/>
      <c r="L104" s="67" t="str">
        <f>IF(RPAinput!I106="","",RPAinput!I106)</f>
        <v>Y</v>
      </c>
      <c r="M104" s="67" t="str">
        <f>IF(RPAinput!J106="","",RPAinput!J106)</f>
        <v>N</v>
      </c>
      <c r="N104" s="67">
        <f>IF(RPAinput!K106="","",RPAinput!K106)</f>
      </c>
      <c r="O104" s="528">
        <f>IF(RPAinput!L106="","",RPAinput!L106)</f>
        <v>0.0050999999999999995</v>
      </c>
      <c r="P104" s="530" t="str">
        <f t="shared" si="15"/>
        <v>B&lt;=C</v>
      </c>
      <c r="Q104" s="67" t="str">
        <f>RPAinput!Q106</f>
        <v>No</v>
      </c>
      <c r="R104" s="528">
        <f t="shared" si="13"/>
      </c>
      <c r="S104" s="529" t="str">
        <f t="shared" si="16"/>
        <v>No</v>
      </c>
      <c r="T104" s="526" t="str">
        <f t="shared" si="14"/>
        <v>MEC&lt;C   B&lt;=C</v>
      </c>
    </row>
    <row r="105" spans="1:20" ht="12.75">
      <c r="A105" s="433">
        <f>Criteria!A111</f>
        <v>101</v>
      </c>
      <c r="B105" s="238" t="str">
        <f>Criteria!B111</f>
        <v>1,2,4-Trichlorobenzene</v>
      </c>
      <c r="C105" s="57" t="str">
        <f>Criteria!E111</f>
        <v>No Criteria</v>
      </c>
      <c r="D105" s="67" t="str">
        <f>IF(RPAinput!C107="","",RPAinput!C107)</f>
        <v>Y</v>
      </c>
      <c r="E105" s="67" t="str">
        <f>IF(RPAinput!D107="","",RPAinput!D107)</f>
        <v>Y</v>
      </c>
      <c r="F105" s="67">
        <f>IF(RPAinput!E107="","",RPAinput!E107)</f>
        <v>0.3</v>
      </c>
      <c r="G105" s="67">
        <f>IF(RPAinput!F107="","",RPAinput!F107)</f>
      </c>
      <c r="H105" s="532" t="str">
        <f t="shared" si="10"/>
        <v>No Criteria</v>
      </c>
      <c r="I105" s="531" t="str">
        <f t="shared" si="11"/>
        <v>No Criteria</v>
      </c>
      <c r="J105" s="531" t="str">
        <f t="shared" si="12"/>
        <v>No Criteria</v>
      </c>
      <c r="K105" s="68"/>
      <c r="L105" s="67" t="str">
        <f>IF(RPAinput!I107="","",RPAinput!I107)</f>
        <v>Y</v>
      </c>
      <c r="M105" s="67" t="str">
        <f>IF(RPAinput!J107="","",RPAinput!J107)</f>
        <v>Y</v>
      </c>
      <c r="N105" s="67">
        <f>IF(RPAinput!K107="","",RPAinput!K107)</f>
        <v>0.3</v>
      </c>
      <c r="O105" s="528">
        <f>IF(RPAinput!L107="","",RPAinput!L107)</f>
      </c>
      <c r="P105" s="530" t="str">
        <f t="shared" si="15"/>
        <v>No Criteria</v>
      </c>
      <c r="Q105" s="67" t="str">
        <f>RPAinput!Q107</f>
        <v>No</v>
      </c>
      <c r="R105" s="528">
        <f t="shared" si="13"/>
      </c>
      <c r="S105" s="529" t="str">
        <f t="shared" si="16"/>
        <v>Uo</v>
      </c>
      <c r="T105" s="526" t="str">
        <f t="shared" si="14"/>
        <v>No Criteria</v>
      </c>
    </row>
    <row r="106" spans="1:20" ht="12.75">
      <c r="A106" s="433">
        <f>Criteria!A112</f>
        <v>102</v>
      </c>
      <c r="B106" s="238" t="str">
        <f>Criteria!B112</f>
        <v>Aldrin</v>
      </c>
      <c r="C106" s="62">
        <f>Criteria!E112</f>
        <v>0.00014</v>
      </c>
      <c r="D106" s="67" t="str">
        <f>IF(RPAinput!C108="","",RPAinput!C108)</f>
        <v>Y</v>
      </c>
      <c r="E106" s="67" t="str">
        <f>IF(RPAinput!D108="","",RPAinput!D108)</f>
        <v>Y</v>
      </c>
      <c r="F106" s="67">
        <f>IF(RPAinput!E108="","",RPAinput!E108)</f>
        <v>0.002</v>
      </c>
      <c r="G106" s="67">
        <f>IF(RPAinput!F108="","",RPAinput!F108)</f>
      </c>
      <c r="H106" s="532" t="str">
        <f t="shared" si="10"/>
        <v>All ND, MinDL&gt;C, do IM</v>
      </c>
      <c r="I106" s="531">
        <f t="shared" si="11"/>
      </c>
      <c r="J106" s="531" t="str">
        <f t="shared" si="12"/>
        <v>Eff all ND with MinDL&gt;C</v>
      </c>
      <c r="K106" s="68"/>
      <c r="L106" s="67" t="str">
        <f>IF(RPAinput!I108="","",RPAinput!I108)</f>
        <v>Y</v>
      </c>
      <c r="M106" s="67" t="str">
        <f>IF(RPAinput!J108="","",RPAinput!J108)</f>
        <v>Y</v>
      </c>
      <c r="N106" s="67" t="str">
        <f>IF(RPAinput!K108="","",RPAinput!K108)</f>
        <v>?</v>
      </c>
      <c r="O106" s="528">
        <f>IF(RPAinput!L108="","",RPAinput!L108)</f>
      </c>
      <c r="P106" s="530" t="str">
        <f t="shared" si="15"/>
        <v>All B ND with MinDL&gt;C</v>
      </c>
      <c r="Q106" s="67" t="str">
        <f>RPAinput!Q108</f>
        <v>No</v>
      </c>
      <c r="R106" s="528" t="str">
        <f t="shared" si="13"/>
        <v>Yes</v>
      </c>
      <c r="S106" s="529" t="str">
        <f t="shared" si="16"/>
        <v>Ud</v>
      </c>
      <c r="T106" s="526" t="str">
        <f t="shared" si="14"/>
        <v>Eff all ND with MinDL&gt;C   All B ND with MinDL&gt;C</v>
      </c>
    </row>
    <row r="107" spans="1:20" ht="12.75">
      <c r="A107" s="433">
        <f>Criteria!A113</f>
        <v>103</v>
      </c>
      <c r="B107" s="238" t="str">
        <f>Criteria!B113</f>
        <v>alpha-BHC</v>
      </c>
      <c r="C107" s="60">
        <f>Criteria!E113</f>
        <v>0.013</v>
      </c>
      <c r="D107" s="67" t="str">
        <f>IF(RPAinput!C109="","",RPAinput!C109)</f>
        <v>Y</v>
      </c>
      <c r="E107" s="67" t="str">
        <f>IF(RPAinput!D109="","",RPAinput!D109)</f>
        <v>Y</v>
      </c>
      <c r="F107" s="67">
        <f>IF(RPAinput!E109="","",RPAinput!E109)</f>
        <v>0.002</v>
      </c>
      <c r="G107" s="67">
        <f>IF(RPAinput!F109="","",RPAinput!F109)</f>
      </c>
      <c r="H107" s="532" t="str">
        <f t="shared" si="10"/>
        <v>All ND &amp; MinDL&lt;C, MEC=MDL</v>
      </c>
      <c r="I107" s="531">
        <f t="shared" si="11"/>
        <v>0.002</v>
      </c>
      <c r="J107" s="531" t="str">
        <f t="shared" si="12"/>
        <v>MEC&lt;C</v>
      </c>
      <c r="K107" s="68"/>
      <c r="L107" s="67" t="str">
        <f>IF(RPAinput!I109="","",RPAinput!I109)</f>
        <v>Y</v>
      </c>
      <c r="M107" s="67" t="str">
        <f>IF(RPAinput!J109="","",RPAinput!J109)</f>
        <v>N</v>
      </c>
      <c r="N107" s="67">
        <f>IF(RPAinput!K109="","",RPAinput!K109)</f>
      </c>
      <c r="O107" s="528">
        <f>IF(RPAinput!L109="","",RPAinput!L109)</f>
        <v>0.000496</v>
      </c>
      <c r="P107" s="530" t="str">
        <f t="shared" si="15"/>
        <v>B&lt;=C</v>
      </c>
      <c r="Q107" s="67" t="str">
        <f>RPAinput!Q109</f>
        <v>No</v>
      </c>
      <c r="R107" s="528">
        <f t="shared" si="13"/>
      </c>
      <c r="S107" s="529" t="str">
        <f t="shared" si="16"/>
        <v>No</v>
      </c>
      <c r="T107" s="526" t="str">
        <f t="shared" si="14"/>
        <v>MEC&lt;C   B&lt;=C</v>
      </c>
    </row>
    <row r="108" spans="1:20" ht="12.75">
      <c r="A108" s="433">
        <f>Criteria!A114</f>
        <v>104</v>
      </c>
      <c r="B108" s="238" t="str">
        <f>Criteria!B114</f>
        <v>beta-BHC</v>
      </c>
      <c r="C108" s="60">
        <f>Criteria!E114</f>
        <v>0.046</v>
      </c>
      <c r="D108" s="67" t="str">
        <f>IF(RPAinput!C110="","",RPAinput!C110)</f>
        <v>Y</v>
      </c>
      <c r="E108" s="67" t="str">
        <f>IF(RPAinput!D110="","",RPAinput!D110)</f>
        <v>Y</v>
      </c>
      <c r="F108" s="67">
        <f>IF(RPAinput!E110="","",RPAinput!E110)</f>
        <v>0.001</v>
      </c>
      <c r="G108" s="67">
        <f>IF(RPAinput!F110="","",RPAinput!F110)</f>
      </c>
      <c r="H108" s="532" t="str">
        <f t="shared" si="10"/>
        <v>All ND &amp; MinDL&lt;C, MEC=MDL</v>
      </c>
      <c r="I108" s="531">
        <f t="shared" si="11"/>
        <v>0.001</v>
      </c>
      <c r="J108" s="531" t="str">
        <f t="shared" si="12"/>
        <v>MEC&lt;C</v>
      </c>
      <c r="K108" s="68"/>
      <c r="L108" s="67" t="str">
        <f>IF(RPAinput!I110="","",RPAinput!I110)</f>
        <v>Y</v>
      </c>
      <c r="M108" s="67" t="str">
        <f>IF(RPAinput!J110="","",RPAinput!J110)</f>
        <v>N</v>
      </c>
      <c r="N108" s="67">
        <f>IF(RPAinput!K110="","",RPAinput!K110)</f>
      </c>
      <c r="O108" s="528">
        <f>IF(RPAinput!L110="","",RPAinput!L110)</f>
        <v>0.000413</v>
      </c>
      <c r="P108" s="530" t="str">
        <f t="shared" si="15"/>
        <v>B&lt;=C</v>
      </c>
      <c r="Q108" s="67" t="str">
        <f>RPAinput!Q110</f>
        <v>No</v>
      </c>
      <c r="R108" s="528">
        <f t="shared" si="13"/>
      </c>
      <c r="S108" s="529" t="str">
        <f t="shared" si="16"/>
        <v>No</v>
      </c>
      <c r="T108" s="526" t="str">
        <f t="shared" si="14"/>
        <v>MEC&lt;C   B&lt;=C</v>
      </c>
    </row>
    <row r="109" spans="1:20" ht="12.75">
      <c r="A109" s="433">
        <f>Criteria!A115</f>
        <v>105</v>
      </c>
      <c r="B109" s="238" t="str">
        <f>Criteria!B115</f>
        <v>gamma-BHC</v>
      </c>
      <c r="C109" s="60">
        <f>Criteria!E115</f>
        <v>0.063</v>
      </c>
      <c r="D109" s="67" t="str">
        <f>IF(RPAinput!C111="","",RPAinput!C111)</f>
        <v>Y</v>
      </c>
      <c r="E109" s="67" t="str">
        <f>IF(RPAinput!D111="","",RPAinput!D111)</f>
        <v>Y</v>
      </c>
      <c r="F109" s="67">
        <f>IF(RPAinput!E111="","",RPAinput!E111)</f>
        <v>0.001</v>
      </c>
      <c r="G109" s="67">
        <f>IF(RPAinput!F111="","",RPAinput!F111)</f>
      </c>
      <c r="H109" s="532" t="str">
        <f t="shared" si="10"/>
        <v>All ND &amp; MinDL&lt;C, MEC=MDL</v>
      </c>
      <c r="I109" s="531">
        <f t="shared" si="11"/>
        <v>0.001</v>
      </c>
      <c r="J109" s="531" t="str">
        <f t="shared" si="12"/>
        <v>MEC&lt;C</v>
      </c>
      <c r="K109" s="68"/>
      <c r="L109" s="67" t="str">
        <f>IF(RPAinput!I111="","",RPAinput!I111)</f>
        <v>Y</v>
      </c>
      <c r="M109" s="67" t="str">
        <f>IF(RPAinput!J111="","",RPAinput!J111)</f>
        <v>N</v>
      </c>
      <c r="N109" s="67">
        <f>IF(RPAinput!K111="","",RPAinput!K111)</f>
      </c>
      <c r="O109" s="528">
        <f>IF(RPAinput!L111="","",RPAinput!L111)</f>
        <v>0.0007034</v>
      </c>
      <c r="P109" s="530" t="str">
        <f t="shared" si="15"/>
        <v>B&lt;=C</v>
      </c>
      <c r="Q109" s="67" t="str">
        <f>RPAinput!Q111</f>
        <v>No</v>
      </c>
      <c r="R109" s="528">
        <f t="shared" si="13"/>
      </c>
      <c r="S109" s="529" t="str">
        <f t="shared" si="16"/>
        <v>No</v>
      </c>
      <c r="T109" s="526" t="str">
        <f t="shared" si="14"/>
        <v>MEC&lt;C   B&lt;=C</v>
      </c>
    </row>
    <row r="110" spans="1:20" ht="12.75">
      <c r="A110" s="433">
        <f>Criteria!A116</f>
        <v>106</v>
      </c>
      <c r="B110" s="238" t="str">
        <f>Criteria!B116</f>
        <v>delta-BHC</v>
      </c>
      <c r="C110" s="57" t="str">
        <f>Criteria!E116</f>
        <v>No Criteria</v>
      </c>
      <c r="D110" s="67" t="str">
        <f>IF(RPAinput!C112="","",RPAinput!C112)</f>
        <v>Y</v>
      </c>
      <c r="E110" s="67" t="str">
        <f>IF(RPAinput!D112="","",RPAinput!D112)</f>
        <v>Y</v>
      </c>
      <c r="F110" s="67">
        <f>IF(RPAinput!E112="","",RPAinput!E112)</f>
        <v>0.001</v>
      </c>
      <c r="G110" s="67">
        <f>IF(RPAinput!F112="","",RPAinput!F112)</f>
      </c>
      <c r="H110" s="532" t="str">
        <f t="shared" si="10"/>
        <v>No Criteria</v>
      </c>
      <c r="I110" s="531" t="str">
        <f t="shared" si="11"/>
        <v>No Criteria</v>
      </c>
      <c r="J110" s="531" t="str">
        <f t="shared" si="12"/>
        <v>No Criteria</v>
      </c>
      <c r="K110" s="68"/>
      <c r="L110" s="67" t="str">
        <f>IF(RPAinput!I112="","",RPAinput!I112)</f>
        <v>Y</v>
      </c>
      <c r="M110" s="67" t="str">
        <f>IF(RPAinput!J112="","",RPAinput!J112)</f>
        <v>N</v>
      </c>
      <c r="N110" s="67">
        <f>IF(RPAinput!K112="","",RPAinput!K112)</f>
      </c>
      <c r="O110" s="528">
        <f>IF(RPAinput!L112="","",RPAinput!L112)</f>
        <v>4.2E-05</v>
      </c>
      <c r="P110" s="530" t="str">
        <f t="shared" si="15"/>
        <v>No Criteria</v>
      </c>
      <c r="Q110" s="67" t="str">
        <f>RPAinput!Q112</f>
        <v>No</v>
      </c>
      <c r="R110" s="528">
        <f t="shared" si="13"/>
      </c>
      <c r="S110" s="529" t="str">
        <f t="shared" si="16"/>
        <v>Uo</v>
      </c>
      <c r="T110" s="526" t="str">
        <f t="shared" si="14"/>
        <v>No Criteria</v>
      </c>
    </row>
    <row r="111" spans="1:20" ht="12.75">
      <c r="A111" s="435">
        <f>Criteria!A117</f>
        <v>107</v>
      </c>
      <c r="B111" s="238" t="str">
        <f>Criteria!B117</f>
        <v>Chlordane</v>
      </c>
      <c r="C111" s="62">
        <f>Criteria!E117</f>
        <v>0.00059</v>
      </c>
      <c r="D111" s="67" t="str">
        <f>IF(RPAinput!C113="","",RPAinput!C113)</f>
        <v>Y</v>
      </c>
      <c r="E111" s="67" t="str">
        <f>IF(RPAinput!D113="","",RPAinput!D113)</f>
        <v>Y</v>
      </c>
      <c r="F111" s="67">
        <f>IF(RPAinput!E113="","",RPAinput!E113)</f>
        <v>0.005</v>
      </c>
      <c r="G111" s="67">
        <f>IF(RPAinput!F113="","",RPAinput!F113)</f>
      </c>
      <c r="H111" s="532" t="str">
        <f t="shared" si="10"/>
        <v>All ND, MinDL&gt;C, do IM</v>
      </c>
      <c r="I111" s="531">
        <f t="shared" si="11"/>
      </c>
      <c r="J111" s="531" t="str">
        <f t="shared" si="12"/>
        <v>Eff all ND with MinDL&gt;C</v>
      </c>
      <c r="K111" s="68"/>
      <c r="L111" s="67" t="str">
        <f>IF(RPAinput!I113="","",RPAinput!I113)</f>
        <v>Y</v>
      </c>
      <c r="M111" s="67" t="str">
        <f>IF(RPAinput!J113="","",RPAinput!J113)</f>
        <v>N</v>
      </c>
      <c r="N111" s="67">
        <f>IF(RPAinput!K113="","",RPAinput!K113)</f>
      </c>
      <c r="O111" s="528">
        <f>IF(RPAinput!L113="","",RPAinput!L113)</f>
        <v>0.00018</v>
      </c>
      <c r="P111" s="530" t="str">
        <f t="shared" si="15"/>
        <v>B&lt;=C</v>
      </c>
      <c r="Q111" s="67" t="str">
        <f>RPAinput!Q113</f>
        <v>No</v>
      </c>
      <c r="R111" s="528" t="str">
        <f t="shared" si="13"/>
        <v>Yes</v>
      </c>
      <c r="S111" s="529" t="str">
        <f t="shared" si="16"/>
        <v>Ud</v>
      </c>
      <c r="T111" s="526" t="str">
        <f t="shared" si="14"/>
        <v>Eff all ND with MinDL&gt;C   B&lt;=C</v>
      </c>
    </row>
    <row r="112" spans="1:20" ht="12.75">
      <c r="A112" s="435">
        <f>Criteria!A118</f>
        <v>108</v>
      </c>
      <c r="B112" s="238" t="str">
        <f>Criteria!B118</f>
        <v>4,4-DDT</v>
      </c>
      <c r="C112" s="62">
        <f>Criteria!E118</f>
        <v>0.00059</v>
      </c>
      <c r="D112" s="67" t="str">
        <f>IF(RPAinput!C114="","",RPAinput!C114)</f>
        <v>Y</v>
      </c>
      <c r="E112" s="67" t="str">
        <f>IF(RPAinput!D114="","",RPAinput!D114)</f>
        <v>Y</v>
      </c>
      <c r="F112" s="67">
        <f>IF(RPAinput!E114="","",RPAinput!E114)</f>
        <v>0.001</v>
      </c>
      <c r="G112" s="67">
        <f>IF(RPAinput!F114="","",RPAinput!F114)</f>
      </c>
      <c r="H112" s="532" t="str">
        <f t="shared" si="10"/>
        <v>All ND, MinDL&gt;C, do IM</v>
      </c>
      <c r="I112" s="531">
        <f t="shared" si="11"/>
      </c>
      <c r="J112" s="531" t="str">
        <f t="shared" si="12"/>
        <v>Eff all ND with MinDL&gt;C</v>
      </c>
      <c r="K112" s="68"/>
      <c r="L112" s="67" t="str">
        <f>IF(RPAinput!I114="","",RPAinput!I114)</f>
        <v>Y</v>
      </c>
      <c r="M112" s="67" t="str">
        <f>IF(RPAinput!J114="","",RPAinput!J114)</f>
        <v>N</v>
      </c>
      <c r="N112" s="67">
        <f>IF(RPAinput!K114="","",RPAinput!K114)</f>
      </c>
      <c r="O112" s="528">
        <f>IF(RPAinput!L114="","",RPAinput!L114)</f>
        <v>6.6E-05</v>
      </c>
      <c r="P112" s="530" t="str">
        <f t="shared" si="15"/>
        <v>B&lt;=C</v>
      </c>
      <c r="Q112" s="67" t="str">
        <f>RPAinput!Q114</f>
        <v>No</v>
      </c>
      <c r="R112" s="528" t="str">
        <f t="shared" si="13"/>
        <v>Yes</v>
      </c>
      <c r="S112" s="529" t="str">
        <f t="shared" si="16"/>
        <v>Ud</v>
      </c>
      <c r="T112" s="526" t="str">
        <f t="shared" si="14"/>
        <v>Eff all ND with MinDL&gt;C   B&lt;=C</v>
      </c>
    </row>
    <row r="113" spans="1:20" ht="12.75">
      <c r="A113" s="436">
        <f>Criteria!A119</f>
        <v>109</v>
      </c>
      <c r="B113" s="238" t="str">
        <f>Criteria!B119</f>
        <v>4,4-DDE</v>
      </c>
      <c r="C113" s="62">
        <f>Criteria!E119</f>
        <v>0.00059</v>
      </c>
      <c r="D113" s="67" t="str">
        <f>IF(RPAinput!C115="","",RPAinput!C115)</f>
        <v>Y</v>
      </c>
      <c r="E113" s="67" t="str">
        <f>IF(RPAinput!D115="","",RPAinput!D115)</f>
        <v>Y</v>
      </c>
      <c r="F113" s="67">
        <f>IF(RPAinput!E115="","",RPAinput!E115)</f>
        <v>0.001</v>
      </c>
      <c r="G113" s="67">
        <f>IF(RPAinput!F115="","",RPAinput!F115)</f>
      </c>
      <c r="H113" s="532" t="str">
        <f t="shared" si="10"/>
        <v>All ND, MinDL&gt;C, do IM</v>
      </c>
      <c r="I113" s="531">
        <f t="shared" si="11"/>
      </c>
      <c r="J113" s="531" t="str">
        <f t="shared" si="12"/>
        <v>Eff all ND with MinDL&gt;C</v>
      </c>
      <c r="K113" s="68"/>
      <c r="L113" s="67" t="str">
        <f>IF(RPAinput!I115="","",RPAinput!I115)</f>
        <v>N</v>
      </c>
      <c r="M113" s="67">
        <f>IF(RPAinput!J115="","",RPAinput!J115)</f>
      </c>
      <c r="N113" s="67">
        <f>IF(RPAinput!K115="","",RPAinput!K115)</f>
      </c>
      <c r="O113" s="528">
        <f>IF(RPAinput!L115="","",RPAinput!L115)</f>
      </c>
      <c r="P113" s="530" t="str">
        <f t="shared" si="15"/>
        <v>No B data</v>
      </c>
      <c r="Q113" s="67" t="str">
        <f>RPAinput!Q115</f>
        <v>No</v>
      </c>
      <c r="R113" s="528" t="str">
        <f t="shared" si="13"/>
        <v>Yes</v>
      </c>
      <c r="S113" s="529" t="str">
        <f t="shared" si="16"/>
        <v>Ud</v>
      </c>
      <c r="T113" s="526" t="str">
        <f t="shared" si="14"/>
        <v>Eff all ND with MinDL&gt;C   No B data</v>
      </c>
    </row>
    <row r="114" spans="1:20" ht="12.75">
      <c r="A114" s="433">
        <f>Criteria!A120</f>
        <v>110</v>
      </c>
      <c r="B114" s="238" t="str">
        <f>Criteria!B120</f>
        <v>4,4-DDD</v>
      </c>
      <c r="C114" s="62">
        <f>Criteria!E120</f>
        <v>0.00084</v>
      </c>
      <c r="D114" s="67" t="str">
        <f>IF(RPAinput!C116="","",RPAinput!C116)</f>
        <v>Y</v>
      </c>
      <c r="E114" s="67" t="str">
        <f>IF(RPAinput!D116="","",RPAinput!D116)</f>
        <v>Y</v>
      </c>
      <c r="F114" s="67">
        <f>IF(RPAinput!E116="","",RPAinput!E116)</f>
        <v>0.001</v>
      </c>
      <c r="G114" s="67">
        <f>IF(RPAinput!F116="","",RPAinput!F116)</f>
      </c>
      <c r="H114" s="532" t="str">
        <f t="shared" si="10"/>
        <v>All ND, MinDL&gt;C, do IM</v>
      </c>
      <c r="I114" s="531">
        <f t="shared" si="11"/>
      </c>
      <c r="J114" s="531" t="str">
        <f t="shared" si="12"/>
        <v>Eff all ND with MinDL&gt;C</v>
      </c>
      <c r="K114" s="68"/>
      <c r="L114" s="67" t="str">
        <f>IF(RPAinput!I116="","",RPAinput!I116)</f>
        <v>Y</v>
      </c>
      <c r="M114" s="67" t="str">
        <f>IF(RPAinput!J116="","",RPAinput!J116)</f>
        <v>N</v>
      </c>
      <c r="N114" s="67">
        <f>IF(RPAinput!K116="","",RPAinput!K116)</f>
      </c>
      <c r="O114" s="528">
        <f>IF(RPAinput!L116="","",RPAinput!L116)</f>
        <v>0.000313</v>
      </c>
      <c r="P114" s="530" t="str">
        <f t="shared" si="15"/>
        <v>B&lt;=C</v>
      </c>
      <c r="Q114" s="67" t="str">
        <f>RPAinput!Q116</f>
        <v>No</v>
      </c>
      <c r="R114" s="528" t="str">
        <f t="shared" si="13"/>
        <v>Yes</v>
      </c>
      <c r="S114" s="529" t="str">
        <f t="shared" si="16"/>
        <v>Ud</v>
      </c>
      <c r="T114" s="526" t="str">
        <f t="shared" si="14"/>
        <v>Eff all ND with MinDL&gt;C   B&lt;=C</v>
      </c>
    </row>
    <row r="115" spans="1:20" ht="12.75">
      <c r="A115" s="433">
        <f>Criteria!A121</f>
        <v>111</v>
      </c>
      <c r="B115" s="238" t="str">
        <f>Criteria!B121</f>
        <v>Dieldrin</v>
      </c>
      <c r="C115" s="62">
        <f>Criteria!E121</f>
        <v>0.00014</v>
      </c>
      <c r="D115" s="67" t="str">
        <f>IF(RPAinput!C117="","",RPAinput!C117)</f>
        <v>Y</v>
      </c>
      <c r="E115" s="67" t="str">
        <f>IF(RPAinput!D117="","",RPAinput!D117)</f>
        <v>Y</v>
      </c>
      <c r="F115" s="67">
        <f>IF(RPAinput!E117="","",RPAinput!E117)</f>
        <v>0.002</v>
      </c>
      <c r="G115" s="67">
        <f>IF(RPAinput!F117="","",RPAinput!F117)</f>
      </c>
      <c r="H115" s="532" t="str">
        <f t="shared" si="10"/>
        <v>All ND, MinDL&gt;C, do IM</v>
      </c>
      <c r="I115" s="531">
        <f t="shared" si="11"/>
      </c>
      <c r="J115" s="531" t="str">
        <f t="shared" si="12"/>
        <v>Eff all ND with MinDL&gt;C</v>
      </c>
      <c r="K115" s="68"/>
      <c r="L115" s="67" t="str">
        <f>IF(RPAinput!I117="","",RPAinput!I117)</f>
        <v>N</v>
      </c>
      <c r="M115" s="67">
        <f>IF(RPAinput!J117="","",RPAinput!J117)</f>
      </c>
      <c r="N115" s="67">
        <f>IF(RPAinput!K117="","",RPAinput!K117)</f>
      </c>
      <c r="O115" s="528">
        <f>IF(RPAinput!L117="","",RPAinput!L117)</f>
      </c>
      <c r="P115" s="530" t="str">
        <f t="shared" si="15"/>
        <v>No B data</v>
      </c>
      <c r="Q115" s="67" t="str">
        <f>RPAinput!Q117</f>
        <v>No</v>
      </c>
      <c r="R115" s="528" t="str">
        <f t="shared" si="13"/>
        <v>Yes</v>
      </c>
      <c r="S115" s="529" t="str">
        <f t="shared" si="16"/>
        <v>Ud</v>
      </c>
      <c r="T115" s="526" t="str">
        <f t="shared" si="14"/>
        <v>Eff all ND with MinDL&gt;C   No B data</v>
      </c>
    </row>
    <row r="116" spans="1:20" ht="12.75">
      <c r="A116" s="433">
        <f>Criteria!A122</f>
        <v>112</v>
      </c>
      <c r="B116" s="238" t="str">
        <f>Criteria!B122</f>
        <v>alpha-Endosulfan</v>
      </c>
      <c r="C116" s="63">
        <f>Criteria!E122</f>
        <v>0.0087</v>
      </c>
      <c r="D116" s="67" t="str">
        <f>IF(RPAinput!C118="","",RPAinput!C118)</f>
        <v>Y</v>
      </c>
      <c r="E116" s="67" t="str">
        <f>IF(RPAinput!D118="","",RPAinput!D118)</f>
        <v>Y</v>
      </c>
      <c r="F116" s="67">
        <f>IF(RPAinput!E118="","",RPAinput!E118)</f>
        <v>0.002</v>
      </c>
      <c r="G116" s="67">
        <f>IF(RPAinput!F118="","",RPAinput!F118)</f>
      </c>
      <c r="H116" s="532" t="str">
        <f t="shared" si="10"/>
        <v>All ND &amp; MinDL&lt;C, MEC=MDL</v>
      </c>
      <c r="I116" s="531">
        <f t="shared" si="11"/>
        <v>0.002</v>
      </c>
      <c r="J116" s="531" t="str">
        <f t="shared" si="12"/>
        <v>MEC&lt;C</v>
      </c>
      <c r="K116" s="68"/>
      <c r="L116" s="67" t="str">
        <f>IF(RPAinput!I118="","",RPAinput!I118)</f>
        <v>Y</v>
      </c>
      <c r="M116" s="67" t="str">
        <f>IF(RPAinput!J118="","",RPAinput!J118)</f>
        <v>N</v>
      </c>
      <c r="N116" s="67">
        <f>IF(RPAinput!K118="","",RPAinput!K118)</f>
      </c>
      <c r="O116" s="528">
        <f>IF(RPAinput!L118="","",RPAinput!L118)</f>
        <v>3.1E-05</v>
      </c>
      <c r="P116" s="530" t="str">
        <f t="shared" si="15"/>
        <v>B&lt;=C</v>
      </c>
      <c r="Q116" s="67" t="str">
        <f>RPAinput!Q118</f>
        <v>No</v>
      </c>
      <c r="R116" s="528">
        <f t="shared" si="13"/>
      </c>
      <c r="S116" s="529" t="str">
        <f t="shared" si="16"/>
        <v>No</v>
      </c>
      <c r="T116" s="526" t="str">
        <f t="shared" si="14"/>
        <v>MEC&lt;C   B&lt;=C</v>
      </c>
    </row>
    <row r="117" spans="1:20" ht="12.75">
      <c r="A117" s="433">
        <f>Criteria!A123</f>
        <v>113</v>
      </c>
      <c r="B117" s="238" t="str">
        <f>Criteria!B123</f>
        <v>beta-Endosulfan</v>
      </c>
      <c r="C117" s="63">
        <f>Criteria!E123</f>
        <v>0.0087</v>
      </c>
      <c r="D117" s="67" t="str">
        <f>IF(RPAinput!C119="","",RPAinput!C119)</f>
        <v>Y</v>
      </c>
      <c r="E117" s="67" t="str">
        <f>IF(RPAinput!D119="","",RPAinput!D119)</f>
        <v>Y</v>
      </c>
      <c r="F117" s="67">
        <f>IF(RPAinput!E119="","",RPAinput!E119)</f>
        <v>0.001</v>
      </c>
      <c r="G117" s="67">
        <f>IF(RPAinput!F119="","",RPAinput!F119)</f>
      </c>
      <c r="H117" s="532" t="str">
        <f t="shared" si="10"/>
        <v>All ND &amp; MinDL&lt;C, MEC=MDL</v>
      </c>
      <c r="I117" s="531">
        <f t="shared" si="11"/>
        <v>0.001</v>
      </c>
      <c r="J117" s="531" t="str">
        <f t="shared" si="12"/>
        <v>MEC&lt;C</v>
      </c>
      <c r="K117" s="68"/>
      <c r="L117" s="67" t="str">
        <f>IF(RPAinput!I119="","",RPAinput!I119)</f>
        <v>Y</v>
      </c>
      <c r="M117" s="67" t="str">
        <f>IF(RPAinput!J119="","",RPAinput!J119)</f>
        <v>N</v>
      </c>
      <c r="N117" s="67">
        <f>IF(RPAinput!K119="","",RPAinput!K119)</f>
      </c>
      <c r="O117" s="528">
        <f>IF(RPAinput!L119="","",RPAinput!L119)</f>
        <v>6.9E-05</v>
      </c>
      <c r="P117" s="530" t="str">
        <f t="shared" si="15"/>
        <v>B&lt;=C</v>
      </c>
      <c r="Q117" s="67" t="str">
        <f>RPAinput!Q119</f>
        <v>No</v>
      </c>
      <c r="R117" s="528">
        <f t="shared" si="13"/>
      </c>
      <c r="S117" s="529" t="str">
        <f t="shared" si="16"/>
        <v>No</v>
      </c>
      <c r="T117" s="526" t="str">
        <f t="shared" si="14"/>
        <v>MEC&lt;C   B&lt;=C</v>
      </c>
    </row>
    <row r="118" spans="1:20" ht="12.75">
      <c r="A118" s="433">
        <f>Criteria!A124</f>
        <v>114</v>
      </c>
      <c r="B118" s="238" t="str">
        <f>Criteria!B124</f>
        <v>Endosulfan Sulfate</v>
      </c>
      <c r="C118" s="57">
        <f>Criteria!E124</f>
        <v>240</v>
      </c>
      <c r="D118" s="67" t="str">
        <f>IF(RPAinput!C120="","",RPAinput!C120)</f>
        <v>Y</v>
      </c>
      <c r="E118" s="67" t="str">
        <f>IF(RPAinput!D120="","",RPAinput!D120)</f>
        <v>Y</v>
      </c>
      <c r="F118" s="67">
        <f>IF(RPAinput!E120="","",RPAinput!E120)</f>
        <v>0.001</v>
      </c>
      <c r="G118" s="67">
        <f>IF(RPAinput!F120="","",RPAinput!F120)</f>
      </c>
      <c r="H118" s="532" t="str">
        <f t="shared" si="10"/>
        <v>All ND &amp; MinDL&lt;C, MEC=MDL</v>
      </c>
      <c r="I118" s="531">
        <f t="shared" si="11"/>
        <v>0.001</v>
      </c>
      <c r="J118" s="531" t="str">
        <f t="shared" si="12"/>
        <v>MEC&lt;C</v>
      </c>
      <c r="K118" s="68"/>
      <c r="L118" s="67" t="str">
        <f>IF(RPAinput!I120="","",RPAinput!I120)</f>
        <v>Y</v>
      </c>
      <c r="M118" s="67" t="str">
        <f>IF(RPAinput!J120="","",RPAinput!J120)</f>
        <v>N</v>
      </c>
      <c r="N118" s="67">
        <f>IF(RPAinput!K120="","",RPAinput!K120)</f>
      </c>
      <c r="O118" s="528">
        <f>IF(RPAinput!L120="","",RPAinput!L120)</f>
        <v>8.190000000000001E-05</v>
      </c>
      <c r="P118" s="530" t="str">
        <f t="shared" si="15"/>
        <v>B&lt;=C</v>
      </c>
      <c r="Q118" s="67" t="str">
        <f>RPAinput!Q120</f>
        <v>No</v>
      </c>
      <c r="R118" s="528">
        <f t="shared" si="13"/>
      </c>
      <c r="S118" s="529" t="str">
        <f t="shared" si="16"/>
        <v>No</v>
      </c>
      <c r="T118" s="526" t="str">
        <f t="shared" si="14"/>
        <v>MEC&lt;C   B&lt;=C</v>
      </c>
    </row>
    <row r="119" spans="1:20" ht="12.75">
      <c r="A119" s="433">
        <f>Criteria!A125</f>
        <v>115</v>
      </c>
      <c r="B119" s="238" t="str">
        <f>Criteria!B125</f>
        <v>Endrin</v>
      </c>
      <c r="C119" s="63">
        <f>Criteria!E125</f>
        <v>0.0023</v>
      </c>
      <c r="D119" s="67" t="str">
        <f>IF(RPAinput!C121="","",RPAinput!C121)</f>
        <v>Y</v>
      </c>
      <c r="E119" s="67" t="str">
        <f>IF(RPAinput!D121="","",RPAinput!D121)</f>
        <v>Y</v>
      </c>
      <c r="F119" s="67">
        <f>IF(RPAinput!E121="","",RPAinput!E121)</f>
        <v>0.002</v>
      </c>
      <c r="G119" s="67">
        <f>IF(RPAinput!F121="","",RPAinput!F121)</f>
      </c>
      <c r="H119" s="532" t="str">
        <f t="shared" si="10"/>
        <v>All ND &amp; MinDL&lt;C, MEC=MDL</v>
      </c>
      <c r="I119" s="531">
        <f t="shared" si="11"/>
        <v>0.002</v>
      </c>
      <c r="J119" s="531" t="str">
        <f t="shared" si="12"/>
        <v>MEC&lt;C</v>
      </c>
      <c r="K119" s="68"/>
      <c r="L119" s="67" t="str">
        <f>IF(RPAinput!I121="","",RPAinput!I121)</f>
        <v>Y</v>
      </c>
      <c r="M119" s="67" t="str">
        <f>IF(RPAinput!J121="","",RPAinput!J121)</f>
        <v>N</v>
      </c>
      <c r="N119" s="67">
        <f>IF(RPAinput!K121="","",RPAinput!K121)</f>
      </c>
      <c r="O119" s="528">
        <f>IF(RPAinput!L121="","",RPAinput!L121)</f>
        <v>3.6E-05</v>
      </c>
      <c r="P119" s="530" t="str">
        <f t="shared" si="15"/>
        <v>B&lt;=C</v>
      </c>
      <c r="Q119" s="67" t="str">
        <f>RPAinput!Q121</f>
        <v>No</v>
      </c>
      <c r="R119" s="528">
        <f t="shared" si="13"/>
      </c>
      <c r="S119" s="529" t="str">
        <f t="shared" si="16"/>
        <v>No</v>
      </c>
      <c r="T119" s="526" t="str">
        <f t="shared" si="14"/>
        <v>MEC&lt;C   B&lt;=C</v>
      </c>
    </row>
    <row r="120" spans="1:20" ht="12.75">
      <c r="A120" s="433">
        <f>Criteria!A126</f>
        <v>116</v>
      </c>
      <c r="B120" s="238" t="str">
        <f>Criteria!B126</f>
        <v>Endrin Aldehyde</v>
      </c>
      <c r="C120" s="59">
        <f>Criteria!E126</f>
        <v>0.81</v>
      </c>
      <c r="D120" s="67" t="str">
        <f>IF(RPAinput!C122="","",RPAinput!C122)</f>
        <v>Y</v>
      </c>
      <c r="E120" s="67" t="str">
        <f>IF(RPAinput!D122="","",RPAinput!D122)</f>
        <v>Y</v>
      </c>
      <c r="F120" s="67">
        <f>IF(RPAinput!E122="","",RPAinput!E122)</f>
        <v>0.002</v>
      </c>
      <c r="G120" s="67">
        <f>IF(RPAinput!F122="","",RPAinput!F122)</f>
      </c>
      <c r="H120" s="532" t="str">
        <f t="shared" si="10"/>
        <v>All ND &amp; MinDL&lt;C, MEC=MDL</v>
      </c>
      <c r="I120" s="531">
        <f t="shared" si="11"/>
        <v>0.002</v>
      </c>
      <c r="J120" s="531" t="str">
        <f t="shared" si="12"/>
        <v>MEC&lt;C</v>
      </c>
      <c r="K120" s="68"/>
      <c r="L120" s="67" t="str">
        <f>IF(RPAinput!I122="","",RPAinput!I122)</f>
        <v>Y</v>
      </c>
      <c r="M120" s="67" t="str">
        <f>IF(RPAinput!J122="","",RPAinput!J122)</f>
        <v>Y</v>
      </c>
      <c r="N120" s="67">
        <f>IF(RPAinput!K122="","",RPAinput!K122)</f>
        <v>0.002</v>
      </c>
      <c r="O120" s="528">
        <f>IF(RPAinput!L122="","",RPAinput!L122)</f>
      </c>
      <c r="P120" s="530" t="str">
        <f t="shared" si="15"/>
        <v>B&lt;=C</v>
      </c>
      <c r="Q120" s="67" t="str">
        <f>RPAinput!Q122</f>
        <v>No</v>
      </c>
      <c r="R120" s="528">
        <f t="shared" si="13"/>
      </c>
      <c r="S120" s="529" t="str">
        <f t="shared" si="16"/>
        <v>No</v>
      </c>
      <c r="T120" s="526" t="str">
        <f t="shared" si="14"/>
        <v>MEC&lt;C   B&lt;=C</v>
      </c>
    </row>
    <row r="121" spans="1:20" ht="12.75">
      <c r="A121" s="433">
        <f>Criteria!A127</f>
        <v>117</v>
      </c>
      <c r="B121" s="238" t="str">
        <f>Criteria!B127</f>
        <v>Heptachlor</v>
      </c>
      <c r="C121" s="62">
        <f>Criteria!E127</f>
        <v>0.00021</v>
      </c>
      <c r="D121" s="67" t="str">
        <f>IF(RPAinput!C123="","",RPAinput!C123)</f>
        <v>Y</v>
      </c>
      <c r="E121" s="67" t="str">
        <f>IF(RPAinput!D123="","",RPAinput!D123)</f>
        <v>Y</v>
      </c>
      <c r="F121" s="67">
        <f>IF(RPAinput!E123="","",RPAinput!E123)</f>
        <v>0.0029</v>
      </c>
      <c r="G121" s="67">
        <f>IF(RPAinput!F123="","",RPAinput!F123)</f>
      </c>
      <c r="H121" s="532" t="str">
        <f t="shared" si="10"/>
        <v>All ND, MinDL&gt;C, do IM</v>
      </c>
      <c r="I121" s="531">
        <f t="shared" si="11"/>
      </c>
      <c r="J121" s="531" t="str">
        <f t="shared" si="12"/>
        <v>Eff all ND with MinDL&gt;C</v>
      </c>
      <c r="K121" s="68"/>
      <c r="L121" s="67" t="str">
        <f>IF(RPAinput!I123="","",RPAinput!I123)</f>
        <v>Y</v>
      </c>
      <c r="M121" s="67" t="str">
        <f>IF(RPAinput!J123="","",RPAinput!J123)</f>
        <v>N</v>
      </c>
      <c r="N121" s="67">
        <f>IF(RPAinput!K123="","",RPAinput!K123)</f>
      </c>
      <c r="O121" s="528">
        <f>IF(RPAinput!L123="","",RPAinput!L123)</f>
        <v>1.9E-05</v>
      </c>
      <c r="P121" s="530" t="str">
        <f t="shared" si="15"/>
        <v>B&lt;=C</v>
      </c>
      <c r="Q121" s="67" t="str">
        <f>RPAinput!Q123</f>
        <v>No</v>
      </c>
      <c r="R121" s="528" t="str">
        <f t="shared" si="13"/>
        <v>Yes</v>
      </c>
      <c r="S121" s="529" t="str">
        <f t="shared" si="16"/>
        <v>Ud</v>
      </c>
      <c r="T121" s="526" t="str">
        <f t="shared" si="14"/>
        <v>Eff all ND with MinDL&gt;C   B&lt;=C</v>
      </c>
    </row>
    <row r="122" spans="1:20" ht="12.75">
      <c r="A122" s="433">
        <f>Criteria!A128</f>
        <v>118</v>
      </c>
      <c r="B122" s="238" t="str">
        <f>Criteria!B128</f>
        <v>Heptchlor Epoxide</v>
      </c>
      <c r="C122" s="62">
        <f>Criteria!E128</f>
        <v>0.00011</v>
      </c>
      <c r="D122" s="67" t="str">
        <f>IF(RPAinput!C124="","",RPAinput!C124)</f>
        <v>Y</v>
      </c>
      <c r="E122" s="67" t="str">
        <f>IF(RPAinput!D124="","",RPAinput!D124)</f>
        <v>Y</v>
      </c>
      <c r="F122" s="67">
        <f>IF(RPAinput!E124="","",RPAinput!E124)</f>
        <v>0.002</v>
      </c>
      <c r="G122" s="67">
        <f>IF(RPAinput!F124="","",RPAinput!F124)</f>
      </c>
      <c r="H122" s="532" t="str">
        <f t="shared" si="10"/>
        <v>All ND, MinDL&gt;C, do IM</v>
      </c>
      <c r="I122" s="531">
        <f t="shared" si="11"/>
      </c>
      <c r="J122" s="531" t="str">
        <f t="shared" si="12"/>
        <v>Eff all ND with MinDL&gt;C</v>
      </c>
      <c r="K122" s="68"/>
      <c r="L122" s="67" t="str">
        <f>IF(RPAinput!I124="","",RPAinput!I124)</f>
        <v>Y</v>
      </c>
      <c r="M122" s="67" t="str">
        <f>IF(RPAinput!J124="","",RPAinput!J124)</f>
        <v>N</v>
      </c>
      <c r="N122" s="67">
        <f>IF(RPAinput!K124="","",RPAinput!K124)</f>
      </c>
      <c r="O122" s="528">
        <f>IF(RPAinput!L124="","",RPAinput!L124)</f>
        <v>9.4E-05</v>
      </c>
      <c r="P122" s="530" t="str">
        <f t="shared" si="15"/>
        <v>B&lt;=C</v>
      </c>
      <c r="Q122" s="67" t="str">
        <f>RPAinput!Q124</f>
        <v>No</v>
      </c>
      <c r="R122" s="528" t="str">
        <f t="shared" si="13"/>
        <v>Yes</v>
      </c>
      <c r="S122" s="529" t="str">
        <f t="shared" si="16"/>
        <v>Ud</v>
      </c>
      <c r="T122" s="526" t="str">
        <f t="shared" si="14"/>
        <v>Eff all ND with MinDL&gt;C   B&lt;=C</v>
      </c>
    </row>
    <row r="123" spans="1:20" ht="12.75">
      <c r="A123" s="428">
        <f>Criteria!A129</f>
        <v>119</v>
      </c>
      <c r="B123" s="238" t="str">
        <f>Criteria!B129</f>
        <v>PCB-1016</v>
      </c>
      <c r="C123" s="86">
        <f>Criteria!E129</f>
        <v>0.00017</v>
      </c>
      <c r="D123" s="67" t="str">
        <f>IF(RPAinput!C125="","",RPAinput!C125)</f>
        <v>Y</v>
      </c>
      <c r="E123" s="67" t="str">
        <f>IF(RPAinput!D125="","",RPAinput!D125)</f>
        <v>Y</v>
      </c>
      <c r="F123" s="67">
        <f>IF(RPAinput!E125="","",RPAinput!E125)</f>
        <v>0.029</v>
      </c>
      <c r="G123" s="67">
        <f>IF(RPAinput!F125="","",RPAinput!F125)</f>
      </c>
      <c r="H123" s="532" t="str">
        <f t="shared" si="10"/>
        <v>All ND, MinDL&gt;C, do IM</v>
      </c>
      <c r="I123" s="531">
        <f t="shared" si="11"/>
      </c>
      <c r="J123" s="531" t="str">
        <f t="shared" si="12"/>
        <v>Eff all ND with MinDL&gt;C</v>
      </c>
      <c r="K123" s="68"/>
      <c r="L123" s="67" t="str">
        <f>IF(RPAinput!I125="","",RPAinput!I125)</f>
        <v>N</v>
      </c>
      <c r="M123" s="67">
        <f>IF(RPAinput!J125="","",RPAinput!J125)</f>
      </c>
      <c r="N123" s="67">
        <f>IF(RPAinput!K125="","",RPAinput!K125)</f>
      </c>
      <c r="O123" s="528">
        <f>IF(RPAinput!L125="","",RPAinput!L125)</f>
      </c>
      <c r="P123" s="530" t="str">
        <f t="shared" si="15"/>
        <v>No B data</v>
      </c>
      <c r="Q123" s="67" t="str">
        <f>RPAinput!Q125</f>
        <v>No</v>
      </c>
      <c r="R123" s="528" t="str">
        <f t="shared" si="13"/>
        <v>Yes</v>
      </c>
      <c r="S123" s="529" t="str">
        <f t="shared" si="16"/>
        <v>Ud</v>
      </c>
      <c r="T123" s="526" t="str">
        <f t="shared" si="14"/>
        <v>Eff all ND with MinDL&gt;C   No B data</v>
      </c>
    </row>
    <row r="124" spans="1:20" ht="12.75">
      <c r="A124" s="428">
        <f>Criteria!A130</f>
        <v>125.5</v>
      </c>
      <c r="B124" s="238" t="str">
        <f>Criteria!B130</f>
        <v>PCBs sum</v>
      </c>
      <c r="C124" s="86">
        <f>Criteria!E130</f>
        <v>0.00017</v>
      </c>
      <c r="D124" s="67" t="str">
        <f>IF(RPAinput!C126="","",RPAinput!C126)</f>
        <v>Y</v>
      </c>
      <c r="E124" s="67" t="str">
        <f>IF(RPAinput!D126="","",RPAinput!D126)</f>
        <v>Y</v>
      </c>
      <c r="F124" s="67">
        <f>IF(RPAinput!E126="","",RPAinput!E126)</f>
        <v>0.059</v>
      </c>
      <c r="G124" s="67">
        <f>IF(RPAinput!F126="","",RPAinput!F126)</f>
      </c>
      <c r="H124" s="532" t="str">
        <f t="shared" si="10"/>
        <v>All ND, MinDL&gt;C, do IM</v>
      </c>
      <c r="I124" s="531">
        <f t="shared" si="11"/>
      </c>
      <c r="J124" s="531" t="str">
        <f t="shared" si="12"/>
        <v>Eff all ND with MinDL&gt;C</v>
      </c>
      <c r="K124" s="68"/>
      <c r="L124" s="67" t="str">
        <f>IF(RPAinput!I126="","",RPAinput!I126)</f>
        <v>N</v>
      </c>
      <c r="M124" s="67">
        <f>IF(RPAinput!J126="","",RPAinput!J126)</f>
      </c>
      <c r="N124" s="67">
        <f>IF(RPAinput!K126="","",RPAinput!K126)</f>
      </c>
      <c r="O124" s="528">
        <f>IF(RPAinput!L126="","",RPAinput!L126)</f>
      </c>
      <c r="P124" s="530" t="str">
        <f t="shared" si="15"/>
        <v>No B data</v>
      </c>
      <c r="Q124" s="67" t="str">
        <f>RPAinput!Q126</f>
        <v>No</v>
      </c>
      <c r="R124" s="528" t="str">
        <f t="shared" si="13"/>
        <v>Yes</v>
      </c>
      <c r="S124" s="529" t="str">
        <f t="shared" si="16"/>
        <v>Ud</v>
      </c>
      <c r="T124" s="526" t="str">
        <f t="shared" si="14"/>
        <v>Eff all ND with MinDL&gt;C   No B data</v>
      </c>
    </row>
    <row r="125" spans="1:20" ht="12.75">
      <c r="A125" s="433">
        <f>Criteria!A131</f>
        <v>126</v>
      </c>
      <c r="B125" s="238" t="str">
        <f>Criteria!B131</f>
        <v>Toxaphene</v>
      </c>
      <c r="C125" s="86">
        <f>Criteria!E131</f>
        <v>0.0002</v>
      </c>
      <c r="D125" s="67" t="str">
        <f>IF(RPAinput!C127="","",RPAinput!C127)</f>
        <v>Y</v>
      </c>
      <c r="E125" s="67" t="str">
        <f>IF(RPAinput!D127="","",RPAinput!D127)</f>
        <v>Y</v>
      </c>
      <c r="F125" s="67">
        <f>IF(RPAinput!E127="","",RPAinput!E127)</f>
        <v>0.15</v>
      </c>
      <c r="G125" s="67">
        <f>IF(RPAinput!F127="","",RPAinput!F127)</f>
      </c>
      <c r="H125" s="532" t="str">
        <f t="shared" si="10"/>
        <v>All ND, MinDL&gt;C, do IM</v>
      </c>
      <c r="I125" s="531">
        <f t="shared" si="11"/>
      </c>
      <c r="J125" s="531" t="str">
        <f t="shared" si="12"/>
        <v>Eff all ND with MinDL&gt;C</v>
      </c>
      <c r="K125" s="68"/>
      <c r="L125" s="67" t="str">
        <f>IF(RPAinput!I127="","",RPAinput!I127)</f>
        <v>Y</v>
      </c>
      <c r="M125" s="67" t="str">
        <f>IF(RPAinput!J127="","",RPAinput!J127)</f>
        <v>Y</v>
      </c>
      <c r="N125" s="67" t="str">
        <f>IF(RPAinput!K127="","",RPAinput!K127)</f>
        <v>?</v>
      </c>
      <c r="O125" s="528">
        <f>IF(RPAinput!L127="","",RPAinput!L127)</f>
      </c>
      <c r="P125" s="530" t="str">
        <f t="shared" si="15"/>
        <v>All B ND with MinDL&gt;C</v>
      </c>
      <c r="Q125" s="67" t="str">
        <f>RPAinput!Q127</f>
        <v>No</v>
      </c>
      <c r="R125" s="528" t="str">
        <f t="shared" si="13"/>
        <v>Yes</v>
      </c>
      <c r="S125" s="529" t="str">
        <f t="shared" si="16"/>
        <v>Ud</v>
      </c>
      <c r="T125" s="526" t="str">
        <f t="shared" si="14"/>
        <v>Eff all ND with MinDL&gt;C   All B ND with MinDL&gt;C</v>
      </c>
    </row>
    <row r="126" spans="1:20" ht="12.75">
      <c r="A126" s="436">
        <f>Criteria!A132</f>
        <v>1001</v>
      </c>
      <c r="B126" s="238" t="str">
        <f>Criteria!B132</f>
        <v>Tributyltin</v>
      </c>
      <c r="C126" s="86">
        <f>Criteria!E132</f>
        <v>0.01</v>
      </c>
      <c r="D126" s="67" t="str">
        <f>IF(RPAinput!C128="","",RPAinput!C128)</f>
        <v>N</v>
      </c>
      <c r="E126" s="67">
        <f>IF(RPAinput!D128="","",RPAinput!D128)</f>
      </c>
      <c r="F126" s="67">
        <f>IF(RPAinput!E128="","",RPAinput!E128)</f>
      </c>
      <c r="G126" s="67">
        <f>IF(RPAinput!F128="","",RPAinput!F128)</f>
      </c>
      <c r="H126" s="532" t="str">
        <f t="shared" si="10"/>
        <v>No effluent data, do IM</v>
      </c>
      <c r="I126" s="531">
        <f t="shared" si="11"/>
      </c>
      <c r="J126" s="531" t="str">
        <f t="shared" si="12"/>
        <v>No effluent data</v>
      </c>
      <c r="K126" s="68"/>
      <c r="L126" s="67" t="str">
        <f>IF(RPAinput!I128="","",RPAinput!I128)</f>
        <v>N</v>
      </c>
      <c r="M126" s="67">
        <f>IF(RPAinput!J128="","",RPAinput!J128)</f>
      </c>
      <c r="N126" s="67">
        <f>IF(RPAinput!K128="","",RPAinput!K128)</f>
      </c>
      <c r="O126" s="528">
        <f>IF(RPAinput!L128="","",RPAinput!L128)</f>
      </c>
      <c r="P126" s="530" t="str">
        <f t="shared" si="15"/>
        <v>No B data</v>
      </c>
      <c r="Q126" s="67" t="str">
        <f>RPAinput!Q128</f>
        <v>No</v>
      </c>
      <c r="R126" s="528" t="str">
        <f t="shared" si="13"/>
        <v>Yes</v>
      </c>
      <c r="S126" s="529" t="str">
        <f t="shared" si="16"/>
        <v>Ud</v>
      </c>
      <c r="T126" s="526" t="str">
        <f t="shared" si="14"/>
        <v>No effluent data    No B data</v>
      </c>
    </row>
    <row r="127" spans="1:20" ht="12.75">
      <c r="A127" s="436">
        <f>Criteria!A133</f>
        <v>1002</v>
      </c>
      <c r="B127" s="238" t="str">
        <f>Criteria!B133</f>
        <v>Total PAHs</v>
      </c>
      <c r="C127" s="86">
        <f>Criteria!E133</f>
        <v>15</v>
      </c>
      <c r="D127" s="67" t="str">
        <f>IF(RPAinput!C129="","",RPAinput!C129)</f>
        <v>Y</v>
      </c>
      <c r="E127" s="67" t="str">
        <f>IF(RPAinput!D129="","",RPAinput!D129)</f>
        <v>Y</v>
      </c>
      <c r="F127" s="67">
        <f>IF(RPAinput!E129="","",RPAinput!E129)</f>
        <v>0.039</v>
      </c>
      <c r="G127" s="67">
        <f>IF(RPAinput!F129="","",RPAinput!F129)</f>
      </c>
      <c r="H127" s="532" t="str">
        <f t="shared" si="10"/>
        <v>All ND &amp; MinDL&lt;C, MEC=MDL</v>
      </c>
      <c r="I127" s="531">
        <f t="shared" si="11"/>
        <v>0.039</v>
      </c>
      <c r="J127" s="531" t="str">
        <f t="shared" si="12"/>
        <v>MEC&lt;C</v>
      </c>
      <c r="K127" s="68"/>
      <c r="L127" s="67" t="str">
        <f>IF(RPAinput!I129="","",RPAinput!I129)</f>
        <v>N</v>
      </c>
      <c r="M127" s="67">
        <f>IF(RPAinput!J129="","",RPAinput!J129)</f>
      </c>
      <c r="N127" s="67">
        <f>IF(RPAinput!K129="","",RPAinput!K129)</f>
      </c>
      <c r="O127" s="528">
        <f>IF(RPAinput!L129="","",RPAinput!L129)</f>
      </c>
      <c r="P127" s="530" t="str">
        <f t="shared" si="15"/>
        <v>No B data</v>
      </c>
      <c r="Q127" s="67" t="str">
        <f>RPAinput!Q129</f>
        <v>No</v>
      </c>
      <c r="R127" s="528">
        <f t="shared" si="13"/>
      </c>
      <c r="S127" s="529" t="str">
        <f t="shared" si="16"/>
        <v>Ud</v>
      </c>
      <c r="T127" s="526" t="str">
        <f t="shared" si="14"/>
        <v>MEC&lt;C   No B data</v>
      </c>
    </row>
    <row r="128" spans="1:20" ht="12.75">
      <c r="A128" s="9"/>
      <c r="B128" s="10" t="s">
        <v>139</v>
      </c>
      <c r="C128" s="11"/>
      <c r="D128" s="12"/>
      <c r="E128" s="12"/>
      <c r="F128" s="12"/>
      <c r="G128" s="12"/>
      <c r="H128" s="12"/>
      <c r="I128" s="64"/>
      <c r="J128" s="12"/>
      <c r="K128" s="12"/>
      <c r="L128" s="12"/>
      <c r="M128" s="12"/>
      <c r="N128" s="12"/>
      <c r="O128" s="12"/>
      <c r="P128" s="13"/>
      <c r="Q128" s="12"/>
      <c r="R128" s="12"/>
      <c r="S128" s="290"/>
      <c r="T128" s="12"/>
    </row>
    <row r="129" spans="2:20" ht="12.75">
      <c r="B129" s="14" t="s">
        <v>141</v>
      </c>
      <c r="C129" s="11"/>
      <c r="D129" s="15"/>
      <c r="E129" s="15"/>
      <c r="F129" s="15"/>
      <c r="G129" s="15"/>
      <c r="H129" s="15"/>
      <c r="I129" s="65"/>
      <c r="J129" s="15"/>
      <c r="K129" s="15"/>
      <c r="L129" s="15"/>
      <c r="M129" s="15"/>
      <c r="N129" s="15"/>
      <c r="O129" s="15"/>
      <c r="Q129" s="15"/>
      <c r="R129" s="15"/>
      <c r="S129" s="290"/>
      <c r="T129" s="12"/>
    </row>
    <row r="130" spans="2:20" ht="12.75">
      <c r="B130" s="17" t="s">
        <v>671</v>
      </c>
      <c r="C130" s="11"/>
      <c r="D130" s="16" t="s">
        <v>237</v>
      </c>
      <c r="E130" s="16"/>
      <c r="F130" s="16"/>
      <c r="G130" s="16"/>
      <c r="H130" s="16"/>
      <c r="I130" s="14"/>
      <c r="J130" s="16"/>
      <c r="K130" s="16"/>
      <c r="L130" s="16"/>
      <c r="M130" s="16"/>
      <c r="N130" s="16"/>
      <c r="O130" s="16"/>
      <c r="P130" s="16"/>
      <c r="Q130" s="16"/>
      <c r="R130" s="16"/>
      <c r="S130" s="10"/>
      <c r="T130" s="10"/>
    </row>
    <row r="131" spans="2:20" ht="12.75">
      <c r="B131" s="17"/>
      <c r="C131" s="11"/>
      <c r="D131" s="16" t="s">
        <v>140</v>
      </c>
      <c r="E131" s="16"/>
      <c r="F131" s="16"/>
      <c r="G131" s="16"/>
      <c r="H131" s="16"/>
      <c r="I131" s="14"/>
      <c r="J131" s="16"/>
      <c r="K131" s="16"/>
      <c r="L131" s="16"/>
      <c r="M131" s="16"/>
      <c r="N131" s="16"/>
      <c r="O131" s="16"/>
      <c r="P131" s="16"/>
      <c r="Q131" s="16"/>
      <c r="R131" s="16"/>
      <c r="S131" s="10"/>
      <c r="T131" s="10"/>
    </row>
    <row r="132" spans="2:20" ht="12.75">
      <c r="B132" s="16"/>
      <c r="C132" s="11"/>
      <c r="D132" s="16"/>
      <c r="E132" s="16"/>
      <c r="F132" s="16"/>
      <c r="G132" s="16"/>
      <c r="H132" s="16"/>
      <c r="I132" s="14"/>
      <c r="J132" s="16"/>
      <c r="K132" s="16"/>
      <c r="L132" s="16"/>
      <c r="M132" s="16"/>
      <c r="N132" s="16"/>
      <c r="O132" s="16"/>
      <c r="P132" s="16"/>
      <c r="Q132" s="16"/>
      <c r="R132" s="16"/>
      <c r="S132" s="10"/>
      <c r="T132" s="10"/>
    </row>
    <row r="133" spans="2:20" ht="12.75">
      <c r="B133" s="16"/>
      <c r="C133" s="11"/>
      <c r="D133" s="16"/>
      <c r="E133" s="16"/>
      <c r="F133" s="16"/>
      <c r="G133" s="16"/>
      <c r="H133" s="16"/>
      <c r="I133" s="14"/>
      <c r="J133" s="16"/>
      <c r="K133" s="16"/>
      <c r="L133" s="16"/>
      <c r="M133" s="16"/>
      <c r="N133" s="16"/>
      <c r="O133" s="16"/>
      <c r="P133" s="16"/>
      <c r="Q133" s="16"/>
      <c r="R133" s="16"/>
      <c r="S133" s="10"/>
      <c r="T133" s="10"/>
    </row>
    <row r="134" spans="3:20" ht="12.75">
      <c r="C134" s="11"/>
      <c r="D134" s="15"/>
      <c r="E134" s="15"/>
      <c r="F134" s="15"/>
      <c r="G134" s="15"/>
      <c r="H134" s="15"/>
      <c r="I134" s="65"/>
      <c r="J134" s="15"/>
      <c r="K134" s="15"/>
      <c r="L134" s="15"/>
      <c r="M134" s="15"/>
      <c r="N134" s="15"/>
      <c r="O134" s="15"/>
      <c r="Q134" s="15"/>
      <c r="R134" s="15"/>
      <c r="S134" s="12"/>
      <c r="T134" s="12"/>
    </row>
    <row r="135" spans="3:20" ht="12.75">
      <c r="C135" s="11"/>
      <c r="D135" s="15"/>
      <c r="E135" s="15"/>
      <c r="F135" s="15"/>
      <c r="G135" s="15"/>
      <c r="H135" s="15"/>
      <c r="I135" s="65"/>
      <c r="J135" s="15"/>
      <c r="K135" s="15"/>
      <c r="L135" s="15"/>
      <c r="M135" s="15"/>
      <c r="N135" s="15"/>
      <c r="O135" s="15"/>
      <c r="Q135" s="15"/>
      <c r="R135" s="15"/>
      <c r="S135" s="12"/>
      <c r="T135" s="12"/>
    </row>
    <row r="136" spans="3:20" ht="12.75">
      <c r="C136" s="58"/>
      <c r="D136" s="19"/>
      <c r="E136" s="19"/>
      <c r="F136" s="19"/>
      <c r="G136" s="19"/>
      <c r="H136" s="19"/>
      <c r="I136" s="66"/>
      <c r="J136" s="19"/>
      <c r="K136" s="19"/>
      <c r="L136" s="19"/>
      <c r="M136" s="19"/>
      <c r="N136" s="19"/>
      <c r="O136" s="19"/>
      <c r="P136" s="18"/>
      <c r="Q136" s="19"/>
      <c r="R136" s="19"/>
      <c r="S136" s="58"/>
      <c r="T136" s="58"/>
    </row>
    <row r="137" spans="3:20" ht="12.75">
      <c r="C137" s="11"/>
      <c r="D137" s="15"/>
      <c r="E137" s="15"/>
      <c r="F137" s="15"/>
      <c r="G137" s="15"/>
      <c r="H137" s="15"/>
      <c r="I137" s="65"/>
      <c r="J137" s="15"/>
      <c r="K137" s="15"/>
      <c r="L137" s="15"/>
      <c r="M137" s="15"/>
      <c r="N137" s="15"/>
      <c r="O137" s="15"/>
      <c r="Q137" s="15"/>
      <c r="R137" s="15"/>
      <c r="S137" s="12"/>
      <c r="T137" s="12"/>
    </row>
    <row r="138" spans="3:20" ht="12.75">
      <c r="C138" s="11"/>
      <c r="D138" s="15"/>
      <c r="E138" s="15"/>
      <c r="F138" s="15"/>
      <c r="G138" s="15"/>
      <c r="H138" s="15"/>
      <c r="I138" s="65"/>
      <c r="J138" s="15"/>
      <c r="K138" s="15"/>
      <c r="L138" s="15"/>
      <c r="M138" s="15"/>
      <c r="N138" s="15"/>
      <c r="O138" s="15"/>
      <c r="Q138" s="15"/>
      <c r="R138" s="15"/>
      <c r="S138" s="12"/>
      <c r="T138" s="12"/>
    </row>
    <row r="139" spans="3:20" ht="12.75">
      <c r="C139" s="11"/>
      <c r="D139" s="15"/>
      <c r="E139" s="15"/>
      <c r="F139" s="15"/>
      <c r="G139" s="15"/>
      <c r="H139" s="15"/>
      <c r="I139" s="65"/>
      <c r="J139" s="15"/>
      <c r="K139" s="15"/>
      <c r="L139" s="15"/>
      <c r="M139" s="15"/>
      <c r="N139" s="15"/>
      <c r="O139" s="15"/>
      <c r="Q139" s="15"/>
      <c r="R139" s="15"/>
      <c r="S139" s="12"/>
      <c r="T139" s="12"/>
    </row>
    <row r="140" spans="3:20" ht="12.75">
      <c r="C140" s="11"/>
      <c r="D140" s="15"/>
      <c r="E140" s="15"/>
      <c r="F140" s="15"/>
      <c r="G140" s="15"/>
      <c r="H140" s="15"/>
      <c r="I140" s="65"/>
      <c r="J140" s="15"/>
      <c r="K140" s="15"/>
      <c r="L140" s="15"/>
      <c r="M140" s="15"/>
      <c r="N140" s="15"/>
      <c r="O140" s="15"/>
      <c r="Q140" s="15"/>
      <c r="R140" s="15"/>
      <c r="S140" s="12"/>
      <c r="T140" s="12"/>
    </row>
    <row r="141" spans="3:20" ht="12.75">
      <c r="C141" s="11"/>
      <c r="D141" s="15"/>
      <c r="E141" s="15"/>
      <c r="F141" s="15"/>
      <c r="G141" s="15"/>
      <c r="H141" s="15"/>
      <c r="I141" s="65"/>
      <c r="J141" s="15"/>
      <c r="K141" s="15"/>
      <c r="L141" s="15"/>
      <c r="M141" s="15"/>
      <c r="N141" s="15"/>
      <c r="O141" s="15"/>
      <c r="Q141" s="15"/>
      <c r="R141" s="15"/>
      <c r="S141" s="12"/>
      <c r="T141" s="12"/>
    </row>
    <row r="142" spans="3:20" ht="12.75">
      <c r="C142" s="11"/>
      <c r="D142" s="15"/>
      <c r="E142" s="15"/>
      <c r="F142" s="15"/>
      <c r="G142" s="15"/>
      <c r="H142" s="15"/>
      <c r="I142" s="65"/>
      <c r="J142" s="15"/>
      <c r="K142" s="15"/>
      <c r="L142" s="15"/>
      <c r="M142" s="15"/>
      <c r="N142" s="15"/>
      <c r="O142" s="15"/>
      <c r="Q142" s="15"/>
      <c r="R142" s="15"/>
      <c r="S142" s="12"/>
      <c r="T142" s="12"/>
    </row>
    <row r="143" spans="3:20" ht="12.75">
      <c r="C143" s="11"/>
      <c r="D143" s="15"/>
      <c r="E143" s="15"/>
      <c r="F143" s="15"/>
      <c r="G143" s="15"/>
      <c r="H143" s="15"/>
      <c r="I143" s="65"/>
      <c r="J143" s="15"/>
      <c r="K143" s="15"/>
      <c r="L143" s="15"/>
      <c r="M143" s="15"/>
      <c r="N143" s="15"/>
      <c r="O143" s="15"/>
      <c r="Q143" s="15"/>
      <c r="R143" s="15"/>
      <c r="S143" s="12"/>
      <c r="T143" s="12"/>
    </row>
    <row r="144" spans="3:20" ht="12.75">
      <c r="C144" s="11"/>
      <c r="D144" s="15"/>
      <c r="E144" s="15"/>
      <c r="F144" s="15"/>
      <c r="G144" s="15"/>
      <c r="H144" s="15"/>
      <c r="I144" s="65"/>
      <c r="J144" s="15"/>
      <c r="K144" s="15"/>
      <c r="L144" s="15"/>
      <c r="M144" s="15"/>
      <c r="N144" s="15"/>
      <c r="O144" s="15"/>
      <c r="Q144" s="15"/>
      <c r="R144" s="15"/>
      <c r="S144" s="12"/>
      <c r="T144" s="12"/>
    </row>
    <row r="145" spans="3:20" ht="12.75">
      <c r="C145" s="11"/>
      <c r="D145" s="15"/>
      <c r="E145" s="15"/>
      <c r="F145" s="15"/>
      <c r="G145" s="15"/>
      <c r="H145" s="15"/>
      <c r="I145" s="65"/>
      <c r="J145" s="15"/>
      <c r="K145" s="15"/>
      <c r="L145" s="15"/>
      <c r="M145" s="15"/>
      <c r="N145" s="15"/>
      <c r="O145" s="15"/>
      <c r="Q145" s="15"/>
      <c r="R145" s="15"/>
      <c r="S145" s="12"/>
      <c r="T145" s="12"/>
    </row>
    <row r="146" spans="3:20" ht="12.75">
      <c r="C146" s="11"/>
      <c r="D146" s="15"/>
      <c r="E146" s="15"/>
      <c r="F146" s="15"/>
      <c r="G146" s="15"/>
      <c r="H146" s="15"/>
      <c r="I146" s="65"/>
      <c r="J146" s="15"/>
      <c r="K146" s="15"/>
      <c r="L146" s="15"/>
      <c r="M146" s="15"/>
      <c r="N146" s="15"/>
      <c r="O146" s="15"/>
      <c r="Q146" s="15"/>
      <c r="R146" s="15"/>
      <c r="S146" s="12"/>
      <c r="T146" s="12"/>
    </row>
    <row r="147" spans="3:20" ht="12.75">
      <c r="C147" s="11"/>
      <c r="D147" s="15"/>
      <c r="E147" s="15"/>
      <c r="F147" s="15"/>
      <c r="G147" s="15"/>
      <c r="H147" s="15"/>
      <c r="I147" s="65"/>
      <c r="J147" s="15"/>
      <c r="K147" s="15"/>
      <c r="L147" s="15"/>
      <c r="M147" s="15"/>
      <c r="N147" s="15"/>
      <c r="O147" s="15"/>
      <c r="Q147" s="15"/>
      <c r="R147" s="15"/>
      <c r="S147" s="12"/>
      <c r="T147" s="12"/>
    </row>
    <row r="148" spans="3:20" ht="12.75">
      <c r="C148" s="11"/>
      <c r="D148" s="15"/>
      <c r="E148" s="15"/>
      <c r="F148" s="15"/>
      <c r="G148" s="15"/>
      <c r="H148" s="15"/>
      <c r="I148" s="65"/>
      <c r="J148" s="15"/>
      <c r="K148" s="15"/>
      <c r="L148" s="15"/>
      <c r="M148" s="15"/>
      <c r="N148" s="15"/>
      <c r="O148" s="15"/>
      <c r="Q148" s="15"/>
      <c r="R148" s="15"/>
      <c r="S148" s="12"/>
      <c r="T148" s="12"/>
    </row>
    <row r="149" spans="3:20" ht="12.75">
      <c r="C149" s="11"/>
      <c r="D149" s="15"/>
      <c r="E149" s="15"/>
      <c r="F149" s="15"/>
      <c r="G149" s="15"/>
      <c r="H149" s="15"/>
      <c r="I149" s="65"/>
      <c r="J149" s="15"/>
      <c r="K149" s="15"/>
      <c r="L149" s="15"/>
      <c r="M149" s="15"/>
      <c r="N149" s="15"/>
      <c r="O149" s="15"/>
      <c r="Q149" s="15"/>
      <c r="R149" s="15"/>
      <c r="S149" s="12"/>
      <c r="T149" s="12"/>
    </row>
    <row r="150" spans="3:20" ht="12.75">
      <c r="C150" s="11"/>
      <c r="D150" s="15"/>
      <c r="E150" s="15"/>
      <c r="F150" s="15"/>
      <c r="G150" s="15"/>
      <c r="H150" s="15"/>
      <c r="I150" s="65"/>
      <c r="J150" s="15"/>
      <c r="K150" s="15"/>
      <c r="L150" s="15"/>
      <c r="M150" s="15"/>
      <c r="N150" s="15"/>
      <c r="O150" s="15"/>
      <c r="Q150" s="15"/>
      <c r="R150" s="15"/>
      <c r="S150" s="12"/>
      <c r="T150" s="12"/>
    </row>
    <row r="151" spans="3:20" ht="12.75">
      <c r="C151" s="11"/>
      <c r="D151" s="15"/>
      <c r="E151" s="15"/>
      <c r="F151" s="15"/>
      <c r="G151" s="15"/>
      <c r="H151" s="15"/>
      <c r="I151" s="65"/>
      <c r="J151" s="15"/>
      <c r="K151" s="15"/>
      <c r="L151" s="15"/>
      <c r="M151" s="15"/>
      <c r="N151" s="15"/>
      <c r="O151" s="15"/>
      <c r="Q151" s="15"/>
      <c r="R151" s="15"/>
      <c r="S151" s="12"/>
      <c r="T151" s="12"/>
    </row>
    <row r="152" spans="3:20" ht="12.75">
      <c r="C152" s="9"/>
      <c r="S152" s="9"/>
      <c r="T152" s="9"/>
    </row>
    <row r="153" spans="3:20" ht="12.75">
      <c r="C153" s="9"/>
      <c r="S153" s="9"/>
      <c r="T153" s="9"/>
    </row>
    <row r="154" spans="3:20" ht="12.75">
      <c r="C154" s="9"/>
      <c r="S154" s="9"/>
      <c r="T154" s="9"/>
    </row>
    <row r="155" spans="3:20" ht="12.75">
      <c r="C155" s="9"/>
      <c r="S155" s="9"/>
      <c r="T155" s="9"/>
    </row>
    <row r="156" spans="3:20" ht="12.75">
      <c r="C156" s="9"/>
      <c r="S156" s="9"/>
      <c r="T156" s="9"/>
    </row>
    <row r="157" spans="3:20" ht="12.75">
      <c r="C157" s="9"/>
      <c r="S157" s="9"/>
      <c r="T157" s="9"/>
    </row>
    <row r="158" spans="3:20" ht="12.75">
      <c r="C158" s="9"/>
      <c r="S158" s="9"/>
      <c r="T158" s="9"/>
    </row>
    <row r="159" spans="3:20" ht="12.75">
      <c r="C159" s="9"/>
      <c r="S159" s="9"/>
      <c r="T159" s="9"/>
    </row>
    <row r="160" spans="3:20" ht="12.75">
      <c r="C160" s="9"/>
      <c r="S160" s="9"/>
      <c r="T160" s="9"/>
    </row>
    <row r="161" spans="3:20" ht="12.75">
      <c r="C161" s="9"/>
      <c r="S161" s="9"/>
      <c r="T161" s="9"/>
    </row>
    <row r="162" spans="3:20" ht="12.75">
      <c r="C162" s="9"/>
      <c r="S162" s="9"/>
      <c r="T162" s="9"/>
    </row>
    <row r="163" spans="3:20" ht="12.75">
      <c r="C163" s="9"/>
      <c r="S163" s="9"/>
      <c r="T163" s="9"/>
    </row>
    <row r="164" spans="3:20" ht="12.75">
      <c r="C164" s="9"/>
      <c r="S164" s="9"/>
      <c r="T164" s="9"/>
    </row>
    <row r="165" spans="3:20" ht="12.75">
      <c r="C165" s="9"/>
      <c r="S165" s="9"/>
      <c r="T165" s="9"/>
    </row>
    <row r="166" spans="3:20" ht="12.75">
      <c r="C166" s="9"/>
      <c r="S166" s="9"/>
      <c r="T166" s="9"/>
    </row>
    <row r="167" spans="3:20" ht="12.75">
      <c r="C167" s="9"/>
      <c r="S167" s="9"/>
      <c r="T167" s="9"/>
    </row>
    <row r="168" spans="3:20" ht="12.75">
      <c r="C168" s="9"/>
      <c r="S168" s="9"/>
      <c r="T168" s="9"/>
    </row>
    <row r="169" spans="3:20" ht="12.75">
      <c r="C169" s="9"/>
      <c r="S169" s="9"/>
      <c r="T169" s="9"/>
    </row>
    <row r="170" spans="3:20" ht="12.75">
      <c r="C170" s="9"/>
      <c r="S170" s="9"/>
      <c r="T170" s="9"/>
    </row>
    <row r="171" spans="3:20" ht="12.75">
      <c r="C171" s="9"/>
      <c r="S171" s="9"/>
      <c r="T171" s="9"/>
    </row>
    <row r="172" spans="3:20" ht="12.75">
      <c r="C172" s="9"/>
      <c r="S172" s="9"/>
      <c r="T172" s="9"/>
    </row>
    <row r="173" spans="3:20" ht="12.75">
      <c r="C173" s="9"/>
      <c r="S173" s="9"/>
      <c r="T173" s="9"/>
    </row>
    <row r="174" spans="3:20" ht="12.75">
      <c r="C174" s="9"/>
      <c r="S174" s="9"/>
      <c r="T174" s="9"/>
    </row>
    <row r="175" spans="3:20" ht="12.75">
      <c r="C175" s="9"/>
      <c r="S175" s="9"/>
      <c r="T175" s="9"/>
    </row>
    <row r="176" spans="3:20" ht="12.75">
      <c r="C176" s="9"/>
      <c r="S176" s="9"/>
      <c r="T176" s="9"/>
    </row>
    <row r="177" spans="3:20" ht="12.75">
      <c r="C177" s="9"/>
      <c r="S177" s="9"/>
      <c r="T177" s="9"/>
    </row>
    <row r="178" spans="3:20" ht="12.75">
      <c r="C178" s="9"/>
      <c r="S178" s="9"/>
      <c r="T178" s="9"/>
    </row>
    <row r="179" spans="3:20" ht="12.75">
      <c r="C179" s="9"/>
      <c r="S179" s="9"/>
      <c r="T179" s="9"/>
    </row>
    <row r="180" spans="3:20" ht="12.75">
      <c r="C180" s="9"/>
      <c r="S180" s="9"/>
      <c r="T180" s="9"/>
    </row>
    <row r="181" spans="3:20" ht="12.75">
      <c r="C181" s="9"/>
      <c r="S181" s="9"/>
      <c r="T181" s="9"/>
    </row>
    <row r="182" spans="3:20" ht="12.75">
      <c r="C182" s="9"/>
      <c r="S182" s="9"/>
      <c r="T182" s="9"/>
    </row>
    <row r="183" spans="3:20" ht="12.75">
      <c r="C183" s="9"/>
      <c r="S183" s="9"/>
      <c r="T183" s="9"/>
    </row>
    <row r="184" spans="3:20" ht="12.75">
      <c r="C184" s="9"/>
      <c r="S184" s="9"/>
      <c r="T184" s="9"/>
    </row>
    <row r="185" spans="3:20" ht="12.75">
      <c r="C185" s="9"/>
      <c r="S185" s="9"/>
      <c r="T185" s="9"/>
    </row>
    <row r="186" spans="3:20" ht="12.75">
      <c r="C186" s="9"/>
      <c r="S186" s="9"/>
      <c r="T186" s="9"/>
    </row>
    <row r="187" spans="3:20" ht="12.75">
      <c r="C187" s="9"/>
      <c r="S187" s="9"/>
      <c r="T187" s="9"/>
    </row>
    <row r="188" spans="3:20" ht="12.75">
      <c r="C188" s="9"/>
      <c r="S188" s="9"/>
      <c r="T188" s="9"/>
    </row>
    <row r="189" spans="3:20" ht="12.75">
      <c r="C189" s="9"/>
      <c r="S189" s="9"/>
      <c r="T189" s="9"/>
    </row>
    <row r="190" spans="3:20" ht="12.75">
      <c r="C190" s="9"/>
      <c r="S190" s="9"/>
      <c r="T190" s="9"/>
    </row>
    <row r="191" spans="3:20" ht="12.75">
      <c r="C191" s="9"/>
      <c r="S191" s="9"/>
      <c r="T191" s="9"/>
    </row>
    <row r="192" spans="3:20" ht="12.75">
      <c r="C192" s="9"/>
      <c r="S192" s="9"/>
      <c r="T192" s="9"/>
    </row>
    <row r="193" spans="3:20" ht="12.75">
      <c r="C193" s="9"/>
      <c r="S193" s="9"/>
      <c r="T193" s="9"/>
    </row>
    <row r="194" spans="3:20" ht="12.75">
      <c r="C194" s="9"/>
      <c r="S194" s="9"/>
      <c r="T194" s="9"/>
    </row>
    <row r="195" spans="3:20" ht="12.75">
      <c r="C195" s="9"/>
      <c r="S195" s="9"/>
      <c r="T195" s="9"/>
    </row>
    <row r="196" spans="3:20" ht="12.75">
      <c r="C196" s="9"/>
      <c r="S196" s="9"/>
      <c r="T196" s="9"/>
    </row>
    <row r="197" spans="3:20" ht="12.75">
      <c r="C197" s="9"/>
      <c r="S197" s="9"/>
      <c r="T197" s="9"/>
    </row>
    <row r="198" spans="3:20" ht="12.75">
      <c r="C198" s="9"/>
      <c r="S198" s="9"/>
      <c r="T198" s="9"/>
    </row>
    <row r="199" spans="3:20" ht="12.75">
      <c r="C199" s="9"/>
      <c r="S199" s="9"/>
      <c r="T199" s="9"/>
    </row>
    <row r="200" spans="3:20" ht="12.75">
      <c r="C200" s="9"/>
      <c r="S200" s="9"/>
      <c r="T200" s="9"/>
    </row>
    <row r="201" spans="3:20" ht="12.75">
      <c r="C201" s="9"/>
      <c r="S201" s="9"/>
      <c r="T201" s="9"/>
    </row>
    <row r="202" spans="3:20" ht="12.75">
      <c r="C202" s="9"/>
      <c r="S202" s="9"/>
      <c r="T202" s="9"/>
    </row>
    <row r="203" spans="3:20" ht="12.75">
      <c r="C203" s="9"/>
      <c r="S203" s="9"/>
      <c r="T203" s="9"/>
    </row>
    <row r="204" spans="3:20" ht="12.75">
      <c r="C204" s="9"/>
      <c r="S204" s="9"/>
      <c r="T204" s="9"/>
    </row>
    <row r="205" spans="3:20" ht="12.75">
      <c r="C205" s="9"/>
      <c r="S205" s="9"/>
      <c r="T205" s="9"/>
    </row>
    <row r="206" spans="3:20" ht="12.75">
      <c r="C206" s="9"/>
      <c r="S206" s="9"/>
      <c r="T206" s="9"/>
    </row>
    <row r="207" spans="3:20" ht="12.75">
      <c r="C207" s="9"/>
      <c r="S207" s="9"/>
      <c r="T207" s="9"/>
    </row>
    <row r="208" spans="3:20" ht="12.75">
      <c r="C208" s="9"/>
      <c r="S208" s="9"/>
      <c r="T208" s="9"/>
    </row>
    <row r="209" spans="3:20" ht="12.75">
      <c r="C209" s="9"/>
      <c r="S209" s="9"/>
      <c r="T209" s="9"/>
    </row>
    <row r="210" spans="3:20" ht="12.75">
      <c r="C210" s="9"/>
      <c r="S210" s="9"/>
      <c r="T210" s="9"/>
    </row>
    <row r="211" spans="3:20" ht="12.75">
      <c r="C211" s="9"/>
      <c r="S211" s="9"/>
      <c r="T211" s="9"/>
    </row>
    <row r="212" spans="3:20" ht="12.75">
      <c r="C212" s="9"/>
      <c r="S212" s="9"/>
      <c r="T212" s="9"/>
    </row>
    <row r="213" spans="3:20" ht="12.75">
      <c r="C213" s="9"/>
      <c r="S213" s="9"/>
      <c r="T213" s="9"/>
    </row>
    <row r="214" spans="3:20" ht="12.75">
      <c r="C214" s="9"/>
      <c r="S214" s="9"/>
      <c r="T214" s="9"/>
    </row>
    <row r="215" spans="3:20" ht="12.75">
      <c r="C215" s="9"/>
      <c r="S215" s="9"/>
      <c r="T215" s="9"/>
    </row>
    <row r="216" spans="3:20" ht="12.75">
      <c r="C216" s="9"/>
      <c r="S216" s="9"/>
      <c r="T216" s="9"/>
    </row>
    <row r="217" spans="3:20" ht="12.75">
      <c r="C217" s="9"/>
      <c r="S217" s="9"/>
      <c r="T217" s="9"/>
    </row>
    <row r="218" spans="3:20" ht="12.75">
      <c r="C218" s="9"/>
      <c r="S218" s="9"/>
      <c r="T218" s="9"/>
    </row>
    <row r="219" spans="3:20" ht="12.75">
      <c r="C219" s="9"/>
      <c r="S219" s="9"/>
      <c r="T219" s="9"/>
    </row>
    <row r="220" spans="3:20" ht="12.75">
      <c r="C220" s="9"/>
      <c r="S220" s="9"/>
      <c r="T220" s="9"/>
    </row>
    <row r="221" spans="3:20" ht="12.75">
      <c r="C221" s="9"/>
      <c r="S221" s="9"/>
      <c r="T221" s="9"/>
    </row>
    <row r="222" spans="3:20" ht="12.75">
      <c r="C222" s="9"/>
      <c r="S222" s="9"/>
      <c r="T222" s="9"/>
    </row>
    <row r="223" spans="3:20" ht="12.75">
      <c r="C223" s="9"/>
      <c r="S223" s="9"/>
      <c r="T223" s="9"/>
    </row>
    <row r="224" spans="3:20" ht="12.75">
      <c r="C224" s="9"/>
      <c r="S224" s="9"/>
      <c r="T224" s="9"/>
    </row>
    <row r="225" spans="3:20" ht="12.75">
      <c r="C225" s="9"/>
      <c r="S225" s="9"/>
      <c r="T225" s="9"/>
    </row>
    <row r="226" spans="3:20" ht="12.75">
      <c r="C226" s="9"/>
      <c r="S226" s="9"/>
      <c r="T226" s="9"/>
    </row>
    <row r="227" spans="3:20" ht="12.75">
      <c r="C227" s="9"/>
      <c r="S227" s="9"/>
      <c r="T227" s="9"/>
    </row>
    <row r="228" spans="3:20" ht="12.75">
      <c r="C228" s="9"/>
      <c r="S228" s="9"/>
      <c r="T228" s="9"/>
    </row>
    <row r="229" spans="3:20" ht="12.75">
      <c r="C229" s="9"/>
      <c r="S229" s="9"/>
      <c r="T229" s="9"/>
    </row>
    <row r="230" spans="3:20" ht="12.75">
      <c r="C230" s="9"/>
      <c r="S230" s="9"/>
      <c r="T230" s="9"/>
    </row>
    <row r="231" spans="3:20" ht="12.75">
      <c r="C231" s="9"/>
      <c r="S231" s="9"/>
      <c r="T231" s="9"/>
    </row>
    <row r="232" spans="3:20" ht="12.75">
      <c r="C232" s="9"/>
      <c r="S232" s="9"/>
      <c r="T232" s="9"/>
    </row>
    <row r="233" spans="3:20" ht="12.75">
      <c r="C233" s="9"/>
      <c r="S233" s="9"/>
      <c r="T233" s="9"/>
    </row>
    <row r="234" spans="3:20" ht="12.75">
      <c r="C234" s="9"/>
      <c r="S234" s="9"/>
      <c r="T234" s="9"/>
    </row>
    <row r="235" spans="3:20" ht="12.75">
      <c r="C235" s="9"/>
      <c r="S235" s="9"/>
      <c r="T235" s="9"/>
    </row>
    <row r="236" spans="3:20" ht="12.75">
      <c r="C236" s="9"/>
      <c r="S236" s="9"/>
      <c r="T236" s="9"/>
    </row>
    <row r="237" spans="3:20" ht="12.75">
      <c r="C237" s="9"/>
      <c r="S237" s="9"/>
      <c r="T237" s="9"/>
    </row>
    <row r="238" spans="3:20" ht="12.75">
      <c r="C238" s="9"/>
      <c r="S238" s="9"/>
      <c r="T238" s="9"/>
    </row>
    <row r="239" spans="3:20" ht="12.75">
      <c r="C239" s="9"/>
      <c r="S239" s="9"/>
      <c r="T239" s="9"/>
    </row>
    <row r="240" spans="3:20" ht="12.75">
      <c r="C240" s="9"/>
      <c r="S240" s="9"/>
      <c r="T240" s="9"/>
    </row>
    <row r="241" spans="3:20" ht="12.75">
      <c r="C241" s="9"/>
      <c r="S241" s="9"/>
      <c r="T241" s="9"/>
    </row>
    <row r="242" spans="3:20" ht="12.75">
      <c r="C242" s="9"/>
      <c r="S242" s="9"/>
      <c r="T242" s="9"/>
    </row>
    <row r="243" spans="3:20" ht="12.75">
      <c r="C243" s="9"/>
      <c r="S243" s="9"/>
      <c r="T243" s="9"/>
    </row>
    <row r="244" spans="3:20" ht="12.75">
      <c r="C244" s="9"/>
      <c r="S244" s="9"/>
      <c r="T244" s="9"/>
    </row>
    <row r="245" spans="3:20" ht="12.75">
      <c r="C245" s="9"/>
      <c r="S245" s="9"/>
      <c r="T245" s="9"/>
    </row>
    <row r="246" spans="3:20" ht="12.75">
      <c r="C246" s="9"/>
      <c r="S246" s="9"/>
      <c r="T246" s="9"/>
    </row>
    <row r="247" spans="3:20" ht="12.75">
      <c r="C247" s="9"/>
      <c r="S247" s="9"/>
      <c r="T247" s="9"/>
    </row>
    <row r="248" spans="3:20" ht="12.75">
      <c r="C248" s="9"/>
      <c r="S248" s="9"/>
      <c r="T248" s="9"/>
    </row>
    <row r="249" spans="3:20" ht="12.75">
      <c r="C249" s="9"/>
      <c r="S249" s="9"/>
      <c r="T249" s="9"/>
    </row>
    <row r="250" spans="3:20" ht="12.75">
      <c r="C250" s="9"/>
      <c r="S250" s="9"/>
      <c r="T250" s="9"/>
    </row>
    <row r="251" spans="3:20" ht="12.75">
      <c r="C251" s="9"/>
      <c r="S251" s="9"/>
      <c r="T251" s="9"/>
    </row>
    <row r="252" spans="3:20" ht="12.75">
      <c r="C252" s="9"/>
      <c r="S252" s="9"/>
      <c r="T252" s="9"/>
    </row>
    <row r="253" spans="3:20" ht="12.75">
      <c r="C253" s="9"/>
      <c r="S253" s="9"/>
      <c r="T253" s="9"/>
    </row>
    <row r="254" spans="3:20" ht="12.75">
      <c r="C254" s="9"/>
      <c r="S254" s="9"/>
      <c r="T254" s="9"/>
    </row>
    <row r="255" spans="3:20" ht="12.75">
      <c r="C255" s="9"/>
      <c r="S255" s="9"/>
      <c r="T255" s="9"/>
    </row>
    <row r="256" spans="3:20" ht="12.75">
      <c r="C256" s="9"/>
      <c r="S256" s="9"/>
      <c r="T256" s="9"/>
    </row>
    <row r="257" spans="3:20" ht="12.75">
      <c r="C257" s="9"/>
      <c r="S257" s="9"/>
      <c r="T257" s="9"/>
    </row>
    <row r="258" spans="3:20" ht="12.75">
      <c r="C258" s="9"/>
      <c r="S258" s="9"/>
      <c r="T258" s="9"/>
    </row>
    <row r="259" spans="3:20" ht="12.75">
      <c r="C259" s="9"/>
      <c r="S259" s="9"/>
      <c r="T259" s="9"/>
    </row>
    <row r="260" spans="3:20" ht="12.75">
      <c r="C260" s="9"/>
      <c r="S260" s="9"/>
      <c r="T260" s="9"/>
    </row>
    <row r="261" spans="3:20" ht="12.75">
      <c r="C261" s="9"/>
      <c r="S261" s="9"/>
      <c r="T261" s="9"/>
    </row>
    <row r="262" spans="3:20" ht="12.75">
      <c r="C262" s="9"/>
      <c r="S262" s="9"/>
      <c r="T262" s="9"/>
    </row>
    <row r="263" spans="3:20" ht="12.75">
      <c r="C263" s="9"/>
      <c r="S263" s="9"/>
      <c r="T263" s="9"/>
    </row>
    <row r="264" spans="3:20" ht="12.75">
      <c r="C264" s="9"/>
      <c r="S264" s="9"/>
      <c r="T264" s="9"/>
    </row>
    <row r="265" spans="3:20" ht="12.75">
      <c r="C265" s="9"/>
      <c r="S265" s="9"/>
      <c r="T265" s="9"/>
    </row>
    <row r="266" spans="3:20" ht="12.75">
      <c r="C266" s="9"/>
      <c r="S266" s="9"/>
      <c r="T266" s="9"/>
    </row>
    <row r="267" spans="3:20" ht="12.75">
      <c r="C267" s="9"/>
      <c r="S267" s="9"/>
      <c r="T267" s="9"/>
    </row>
    <row r="268" spans="3:20" ht="12.75">
      <c r="C268" s="9"/>
      <c r="S268" s="9"/>
      <c r="T268" s="9"/>
    </row>
    <row r="269" spans="3:20" ht="12.75">
      <c r="C269" s="9"/>
      <c r="S269" s="9"/>
      <c r="T269" s="9"/>
    </row>
    <row r="270" spans="3:20" ht="12.75">
      <c r="C270" s="9"/>
      <c r="S270" s="9"/>
      <c r="T270" s="9"/>
    </row>
    <row r="271" spans="3:20" ht="12.75">
      <c r="C271" s="9"/>
      <c r="S271" s="9"/>
      <c r="T271" s="9"/>
    </row>
    <row r="272" spans="3:20" ht="12.75">
      <c r="C272" s="9"/>
      <c r="S272" s="9"/>
      <c r="T272" s="9"/>
    </row>
    <row r="273" spans="3:20" ht="12.75">
      <c r="C273" s="9"/>
      <c r="S273" s="9"/>
      <c r="T273" s="9"/>
    </row>
    <row r="274" spans="3:20" ht="12.75">
      <c r="C274" s="9"/>
      <c r="S274" s="9"/>
      <c r="T274" s="9"/>
    </row>
    <row r="275" spans="3:20" ht="12.75">
      <c r="C275" s="9"/>
      <c r="S275" s="9"/>
      <c r="T275" s="9"/>
    </row>
    <row r="276" spans="3:20" ht="12.75">
      <c r="C276" s="9"/>
      <c r="S276" s="9"/>
      <c r="T276" s="9"/>
    </row>
    <row r="277" ht="12.75">
      <c r="C277" s="9"/>
    </row>
    <row r="278" ht="12.75">
      <c r="C278" s="9"/>
    </row>
    <row r="279" ht="12.75">
      <c r="C279" s="9"/>
    </row>
    <row r="280" ht="12.75">
      <c r="C280" s="9"/>
    </row>
    <row r="281" ht="12.75">
      <c r="C281" s="9"/>
    </row>
    <row r="282" ht="12.75">
      <c r="C282" s="9"/>
    </row>
    <row r="283" ht="12.75">
      <c r="C283" s="9"/>
    </row>
    <row r="284" ht="12.75">
      <c r="C284" s="9"/>
    </row>
    <row r="285" ht="12.75">
      <c r="C285" s="9"/>
    </row>
    <row r="286" ht="12.75">
      <c r="C286" s="9"/>
    </row>
    <row r="287" ht="12.75">
      <c r="C287" s="9"/>
    </row>
    <row r="288" ht="12.75">
      <c r="C288" s="9"/>
    </row>
    <row r="289" ht="12.75">
      <c r="C289" s="9"/>
    </row>
    <row r="290" ht="12.75">
      <c r="C290" s="9"/>
    </row>
    <row r="291" ht="12.75">
      <c r="C291" s="9"/>
    </row>
    <row r="292" ht="12.75">
      <c r="C292" s="9"/>
    </row>
    <row r="293" ht="12.75">
      <c r="C293" s="9"/>
    </row>
    <row r="294" ht="12.75">
      <c r="C294" s="9"/>
    </row>
    <row r="295" ht="12.75">
      <c r="C295" s="9"/>
    </row>
    <row r="296" ht="12.75">
      <c r="C296" s="9"/>
    </row>
    <row r="297" ht="12.75">
      <c r="C297" s="9"/>
    </row>
    <row r="298" ht="12.75">
      <c r="C298" s="9"/>
    </row>
    <row r="299" ht="12.75">
      <c r="C299" s="9"/>
    </row>
    <row r="300" ht="12.75">
      <c r="C300" s="9"/>
    </row>
    <row r="301" ht="12.75">
      <c r="C301" s="9"/>
    </row>
    <row r="302" ht="12.75">
      <c r="C302" s="9"/>
    </row>
    <row r="303" ht="12.75">
      <c r="C303" s="9"/>
    </row>
    <row r="304" ht="12.75">
      <c r="C304" s="9"/>
    </row>
    <row r="305" ht="12.75">
      <c r="C305" s="9"/>
    </row>
    <row r="306" ht="12.75">
      <c r="C306" s="9"/>
    </row>
    <row r="307" ht="12.75">
      <c r="C307" s="9"/>
    </row>
    <row r="308" ht="12.75">
      <c r="C308" s="9"/>
    </row>
    <row r="309" ht="12.75">
      <c r="C309" s="9"/>
    </row>
    <row r="310" ht="12.75">
      <c r="C310" s="9"/>
    </row>
    <row r="311" ht="12.75">
      <c r="C311" s="9"/>
    </row>
    <row r="312" ht="12.75">
      <c r="C312" s="9"/>
    </row>
    <row r="313" ht="12.75">
      <c r="C313" s="9"/>
    </row>
    <row r="314" ht="12.75">
      <c r="C314" s="9"/>
    </row>
    <row r="315" ht="12.75">
      <c r="C315" s="9"/>
    </row>
    <row r="316" ht="12.75">
      <c r="C316" s="9"/>
    </row>
  </sheetData>
  <mergeCells count="13">
    <mergeCell ref="R2:R3"/>
    <mergeCell ref="G2:G3"/>
    <mergeCell ref="H2:H3"/>
    <mergeCell ref="Q2:Q3"/>
    <mergeCell ref="O2:O3"/>
    <mergeCell ref="A2:A3"/>
    <mergeCell ref="B2:B3"/>
    <mergeCell ref="D2:D3"/>
    <mergeCell ref="E2:E3"/>
    <mergeCell ref="F2:F3"/>
    <mergeCell ref="L2:L3"/>
    <mergeCell ref="M2:M3"/>
    <mergeCell ref="N2:N3"/>
  </mergeCells>
  <conditionalFormatting sqref="B4:B127">
    <cfRule type="expression" priority="1" dxfId="5" stopIfTrue="1">
      <formula>IF(S4="Yes",1,0)</formula>
    </cfRule>
  </conditionalFormatting>
  <conditionalFormatting sqref="J4:J127 P4:P127">
    <cfRule type="expression" priority="2" dxfId="6" stopIfTrue="1">
      <formula>IF(LEFT(J4,4)="Need",1,0)</formula>
    </cfRule>
  </conditionalFormatting>
  <conditionalFormatting sqref="Q4:Q127 S4:S127">
    <cfRule type="cellIs" priority="3" dxfId="6" operator="equal" stopIfTrue="1">
      <formula>"Yes"</formula>
    </cfRule>
  </conditionalFormatting>
  <printOptions horizontalCentered="1"/>
  <pageMargins left="0.25" right="0.25" top="1" bottom="1" header="0.25" footer="0.25"/>
  <pageSetup fitToHeight="2" fitToWidth="1" horizontalDpi="600" verticalDpi="600" orientation="landscape" scale="48" r:id="rId1"/>
  <headerFooter alignWithMargins="0">
    <oddHeader>&amp;C&amp;22
&amp;24APPENDIX F-1
REASONABLE POTENTIAL ANALYSIS RESULTS&amp;R&amp;18Rodeo Sanitary District
Tentative Order</oddHeader>
    <oddFooter>&amp;L&amp;15&amp;F &amp;.xls &amp;   (&amp;A&amp; ) &amp;C&amp;15&amp;P of &amp;N&amp;R&amp;15&amp;D</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G57"/>
  <sheetViews>
    <sheetView zoomScale="80" zoomScaleNormal="80" workbookViewId="0" topLeftCell="A1">
      <pane xSplit="1" ySplit="3" topLeftCell="C4" activePane="bottomRight" state="frozen"/>
      <selection pane="topLeft" activeCell="A1" sqref="A1"/>
      <selection pane="topRight" activeCell="B1" sqref="B1"/>
      <selection pane="bottomLeft" activeCell="A4" sqref="A4"/>
      <selection pane="bottomRight" activeCell="D13" sqref="D13"/>
    </sheetView>
  </sheetViews>
  <sheetFormatPr defaultColWidth="9.140625" defaultRowHeight="12.75"/>
  <cols>
    <col min="1" max="1" width="45.140625" style="0" customWidth="1"/>
    <col min="2" max="2" width="11.57421875" style="0" hidden="1" customWidth="1"/>
    <col min="3" max="3" width="11.8515625" style="0" customWidth="1"/>
    <col min="4" max="4" width="10.57421875" style="0" customWidth="1"/>
    <col min="5" max="5" width="12.421875" style="0" customWidth="1"/>
    <col min="6" max="6" width="14.28125" style="0" customWidth="1"/>
    <col min="7" max="7" width="17.57421875" style="0" customWidth="1"/>
  </cols>
  <sheetData>
    <row r="1" spans="1:2" ht="12.75">
      <c r="A1" s="176"/>
      <c r="B1" s="16"/>
    </row>
    <row r="2" spans="1:7" ht="12.75" customHeight="1" thickBot="1">
      <c r="A2" s="193" t="s">
        <v>282</v>
      </c>
      <c r="B2" s="241" t="s">
        <v>297</v>
      </c>
      <c r="C2" s="241">
        <f>CTR8</f>
        <v>8</v>
      </c>
      <c r="D2" s="241">
        <f>CTR13</f>
        <v>13</v>
      </c>
      <c r="E2" s="241">
        <f>CTR14</f>
        <v>14</v>
      </c>
      <c r="F2" s="241">
        <f>CTR16</f>
        <v>16</v>
      </c>
      <c r="G2" s="241">
        <f>CTR14</f>
        <v>14</v>
      </c>
    </row>
    <row r="3" spans="1:7" ht="14.25" thickBot="1" thickTop="1">
      <c r="A3" s="193" t="s">
        <v>146</v>
      </c>
      <c r="B3" s="240" t="s">
        <v>269</v>
      </c>
      <c r="C3" s="240" t="str">
        <f>PolName8</f>
        <v>Mercury</v>
      </c>
      <c r="D3" s="240" t="str">
        <f>PolName13</f>
        <v>Zinc</v>
      </c>
      <c r="E3" s="240" t="str">
        <f>PolName14</f>
        <v>Cyanide</v>
      </c>
      <c r="F3" s="240" t="str">
        <f>PolName16</f>
        <v>Dioxin-TEQ</v>
      </c>
      <c r="G3" s="240" t="str">
        <f>PolName14&amp;"SSO"</f>
        <v>CyanideSSO</v>
      </c>
    </row>
    <row r="4" spans="1:7" ht="13.5" thickTop="1">
      <c r="A4" s="194" t="s">
        <v>148</v>
      </c>
      <c r="B4" s="179"/>
      <c r="C4" s="179" t="str">
        <f>WQOBasis8</f>
        <v>BP FW</v>
      </c>
      <c r="D4" s="179" t="str">
        <f>WQOBasis13</f>
        <v>BP FW</v>
      </c>
      <c r="E4" s="179" t="str">
        <f>WQOBasis14</f>
        <v>NTR FW</v>
      </c>
      <c r="F4" s="179" t="str">
        <f>WQOBasis16</f>
        <v>BP HH</v>
      </c>
      <c r="G4" s="179" t="str">
        <f>WQOBasis14</f>
        <v>NTR FW</v>
      </c>
    </row>
    <row r="5" spans="1:7" ht="12.75">
      <c r="A5" s="5" t="s">
        <v>149</v>
      </c>
      <c r="B5" s="180"/>
      <c r="C5" s="541">
        <f>WQOMin8</f>
        <v>0.025</v>
      </c>
      <c r="D5" s="546">
        <f>WQOMin13</f>
        <v>64.33273608509161</v>
      </c>
      <c r="E5" s="180">
        <f>WQOMin14</f>
        <v>1</v>
      </c>
      <c r="F5" s="540">
        <f>WQOMin16</f>
        <v>1.4E-08</v>
      </c>
      <c r="G5" s="180">
        <f>WQOMin14</f>
        <v>1</v>
      </c>
    </row>
    <row r="6" spans="1:7" ht="12.75">
      <c r="A6" s="5" t="s">
        <v>150</v>
      </c>
      <c r="B6" s="181"/>
      <c r="C6" s="181"/>
      <c r="D6" s="181"/>
      <c r="E6" s="181"/>
      <c r="F6" s="181"/>
      <c r="G6" s="181"/>
    </row>
    <row r="7" spans="1:7" ht="12.75">
      <c r="A7" s="5" t="s">
        <v>151</v>
      </c>
      <c r="B7" s="182">
        <f aca="true" t="shared" si="0" ref="B7:G7">IF(B17="Y",0,zDilution)</f>
        <v>9</v>
      </c>
      <c r="C7" s="182">
        <f t="shared" si="0"/>
        <v>0</v>
      </c>
      <c r="D7" s="182">
        <f t="shared" si="0"/>
        <v>9</v>
      </c>
      <c r="E7" s="182">
        <f t="shared" si="0"/>
        <v>9</v>
      </c>
      <c r="F7" s="182">
        <f t="shared" si="0"/>
        <v>0</v>
      </c>
      <c r="G7" s="182">
        <f t="shared" si="0"/>
        <v>9</v>
      </c>
    </row>
    <row r="8" spans="1:7" ht="12.75">
      <c r="A8" s="5" t="s">
        <v>246</v>
      </c>
      <c r="B8" s="182">
        <v>4</v>
      </c>
      <c r="C8" s="182">
        <v>4</v>
      </c>
      <c r="D8" s="182">
        <v>4</v>
      </c>
      <c r="E8" s="182">
        <v>4</v>
      </c>
      <c r="F8" s="182">
        <v>4</v>
      </c>
      <c r="G8" s="182">
        <v>4</v>
      </c>
    </row>
    <row r="9" spans="1:7" ht="12.75">
      <c r="A9" s="195" t="s">
        <v>235</v>
      </c>
      <c r="B9" s="182" t="s">
        <v>47</v>
      </c>
      <c r="C9" s="182" t="s">
        <v>47</v>
      </c>
      <c r="D9" s="182" t="s">
        <v>47</v>
      </c>
      <c r="E9" s="182" t="s">
        <v>47</v>
      </c>
      <c r="F9" s="182" t="s">
        <v>48</v>
      </c>
      <c r="G9" s="182" t="s">
        <v>47</v>
      </c>
    </row>
    <row r="10" spans="1:7" ht="12.75">
      <c r="A10" s="196" t="s">
        <v>152</v>
      </c>
      <c r="B10" s="182" t="s">
        <v>48</v>
      </c>
      <c r="C10" s="182" t="s">
        <v>47</v>
      </c>
      <c r="D10" s="182" t="s">
        <v>48</v>
      </c>
      <c r="E10" s="182" t="s">
        <v>47</v>
      </c>
      <c r="F10" s="182" t="s">
        <v>47</v>
      </c>
      <c r="G10" s="182" t="s">
        <v>47</v>
      </c>
    </row>
    <row r="11" spans="1:7" ht="12.75">
      <c r="A11" s="5"/>
      <c r="B11" s="182"/>
      <c r="C11" s="182"/>
      <c r="D11" s="182"/>
      <c r="E11" s="182"/>
      <c r="F11" s="182"/>
      <c r="G11" s="182"/>
    </row>
    <row r="12" spans="1:7" ht="12.75">
      <c r="A12" s="195" t="s">
        <v>153</v>
      </c>
      <c r="B12" s="183">
        <v>20.4</v>
      </c>
      <c r="C12" s="542">
        <f>WQOAcute8</f>
        <v>2.1</v>
      </c>
      <c r="D12" s="547">
        <f>WQOAcute13</f>
        <v>64.33273608509161</v>
      </c>
      <c r="E12" s="542">
        <v>1</v>
      </c>
      <c r="F12" s="183">
        <f>WQOAcute16</f>
      </c>
      <c r="G12" s="542">
        <v>9.4</v>
      </c>
    </row>
    <row r="13" spans="1:7" ht="12.75">
      <c r="A13" s="195" t="s">
        <v>154</v>
      </c>
      <c r="B13" s="183">
        <v>13</v>
      </c>
      <c r="C13" s="543">
        <f>WQOChron8</f>
        <v>0.025</v>
      </c>
      <c r="D13" s="547">
        <f>WQOChron13</f>
        <v>64.33273608509161</v>
      </c>
      <c r="E13" s="542">
        <v>1</v>
      </c>
      <c r="F13" s="183">
        <f>WQOChron16</f>
      </c>
      <c r="G13" s="542">
        <v>2.9</v>
      </c>
    </row>
    <row r="14" spans="1:7" ht="12.75">
      <c r="A14" s="196" t="s">
        <v>155</v>
      </c>
      <c r="B14" s="182"/>
      <c r="C14" s="541">
        <f>WQOHH8</f>
        <v>0.051</v>
      </c>
      <c r="D14" s="182">
        <f>WQOHH13</f>
      </c>
      <c r="E14" s="546">
        <f>WQOHH14</f>
        <v>220000</v>
      </c>
      <c r="F14" s="540">
        <f>WQOHH16</f>
        <v>1.4E-08</v>
      </c>
      <c r="G14" s="546">
        <f>WQOHH14</f>
        <v>220000</v>
      </c>
    </row>
    <row r="15" spans="1:7" ht="12.75">
      <c r="A15" s="195" t="s">
        <v>247</v>
      </c>
      <c r="B15" s="182">
        <v>2.45</v>
      </c>
      <c r="C15" s="539">
        <f>BMax8</f>
        <v>0.0086</v>
      </c>
      <c r="D15" s="180">
        <f>BMax13</f>
        <v>4.4</v>
      </c>
      <c r="E15" s="185">
        <f>BMax14</f>
        <v>0.4</v>
      </c>
      <c r="F15" s="540">
        <f>BMax16</f>
        <v>7.1E-08</v>
      </c>
      <c r="G15" s="185">
        <f>BMax14</f>
        <v>0.4</v>
      </c>
    </row>
    <row r="16" spans="1:7" ht="12.75">
      <c r="A16" s="196" t="s">
        <v>476</v>
      </c>
      <c r="B16" s="182"/>
      <c r="C16" s="539">
        <f>BAvg8</f>
        <v>0.0086</v>
      </c>
      <c r="D16" s="182">
        <f>BAvg13</f>
      </c>
      <c r="E16" s="182">
        <f>BAvg14</f>
      </c>
      <c r="F16" s="540">
        <f>BAvg16</f>
        <v>7.1E-08</v>
      </c>
      <c r="G16" s="182">
        <f>BAvg14</f>
      </c>
    </row>
    <row r="17" spans="1:7" ht="12.75">
      <c r="A17" s="196" t="s">
        <v>156</v>
      </c>
      <c r="B17" s="182" t="s">
        <v>48</v>
      </c>
      <c r="C17" s="182" t="str">
        <f>Bio8</f>
        <v>Y</v>
      </c>
      <c r="D17" s="182" t="str">
        <f>Bio13</f>
        <v>N</v>
      </c>
      <c r="E17" s="182" t="str">
        <f>Bio14</f>
        <v>N</v>
      </c>
      <c r="F17" s="182" t="str">
        <f>Bio16</f>
        <v>Y</v>
      </c>
      <c r="G17" s="182" t="str">
        <f>Bio14</f>
        <v>N</v>
      </c>
    </row>
    <row r="18" spans="1:7" ht="12.75">
      <c r="A18" s="196" t="s">
        <v>475</v>
      </c>
      <c r="B18" s="182" t="s">
        <v>47</v>
      </c>
      <c r="C18" s="182" t="str">
        <f>Carcin8</f>
        <v>Y</v>
      </c>
      <c r="D18" s="182" t="str">
        <f>Carcin13</f>
        <v>N</v>
      </c>
      <c r="E18" s="182" t="str">
        <f>Carcin14</f>
        <v>N</v>
      </c>
      <c r="F18" s="182" t="str">
        <f>Carcin16</f>
        <v>Y</v>
      </c>
      <c r="G18" s="182" t="str">
        <f>Carcin14</f>
        <v>N</v>
      </c>
    </row>
    <row r="19" spans="1:7" ht="12.75">
      <c r="A19" s="5"/>
      <c r="B19" s="182"/>
      <c r="C19" s="182"/>
      <c r="D19" s="182"/>
      <c r="E19" s="182"/>
      <c r="F19" s="182"/>
      <c r="G19" s="182"/>
    </row>
    <row r="20" spans="1:7" ht="12.75">
      <c r="A20" s="195" t="s">
        <v>157</v>
      </c>
      <c r="B20" s="239">
        <f aca="true" t="shared" si="1" ref="B20:G20">IF(B9="N","N/A",IF(B9&lt;&gt;"Y","Enter if aquatic analysis required",IF(B12="","Enter Acute WQO",IF(B15="","Enter BG data",IF(B12&lt;=B15,B12,B12+B7*(B12-B15))))))</f>
        <v>181.95</v>
      </c>
      <c r="C20" s="191">
        <f t="shared" si="1"/>
        <v>2.1</v>
      </c>
      <c r="D20" s="538">
        <f t="shared" si="1"/>
        <v>603.727360850916</v>
      </c>
      <c r="E20" s="191">
        <f t="shared" si="1"/>
        <v>6.3999999999999995</v>
      </c>
      <c r="F20" s="239" t="str">
        <f t="shared" si="1"/>
        <v>N/A</v>
      </c>
      <c r="G20" s="191">
        <f t="shared" si="1"/>
        <v>90.4</v>
      </c>
    </row>
    <row r="21" spans="1:7" ht="12.75">
      <c r="A21" s="195" t="s">
        <v>158</v>
      </c>
      <c r="B21" s="239">
        <f aca="true" t="shared" si="2" ref="B21:G21">IF(B9="N","N/A",IF(B9&lt;&gt;"Y","Enter if aquatic analysis required",IF(B13="","Enter Chronic WQO",IF(B15="","Enter BG data",IF(B13&lt;=B15,B13,B13+B7*(B13-B15))))))</f>
        <v>107.95</v>
      </c>
      <c r="C21" s="188">
        <f t="shared" si="2"/>
        <v>0.025</v>
      </c>
      <c r="D21" s="538">
        <f t="shared" si="2"/>
        <v>603.727360850916</v>
      </c>
      <c r="E21" s="191">
        <f t="shared" si="2"/>
        <v>6.3999999999999995</v>
      </c>
      <c r="F21" s="239" t="str">
        <f t="shared" si="2"/>
        <v>N/A</v>
      </c>
      <c r="G21" s="191">
        <f t="shared" si="2"/>
        <v>25.4</v>
      </c>
    </row>
    <row r="22" spans="1:7" ht="12.75">
      <c r="A22" s="196" t="s">
        <v>159</v>
      </c>
      <c r="B22" s="239" t="str">
        <f aca="true" t="shared" si="3" ref="B22:G22">IF(B10="N","N/A",IF(B10&lt;&gt;"Y","Enter if HH analysis required",IF(B14="","Enter HH criteria",IF(AND(B16="",B18="Y"),"Enter BG data",IF(B18="","Enter carcin. info",IF(B18="Y",IF(B14&lt;=B16,B14,B14+B7*(B14-B16)),IF(B14&lt;=B15,B14,B14+B7*(B14-B15))))))))</f>
        <v>N/A</v>
      </c>
      <c r="C22" s="188">
        <f t="shared" si="3"/>
        <v>0.051</v>
      </c>
      <c r="D22" s="239" t="str">
        <f t="shared" si="3"/>
        <v>N/A</v>
      </c>
      <c r="E22" s="239">
        <f t="shared" si="3"/>
        <v>2199996.4000000004</v>
      </c>
      <c r="F22" s="239">
        <f t="shared" si="3"/>
        <v>1.4E-08</v>
      </c>
      <c r="G22" s="239">
        <f t="shared" si="3"/>
        <v>2199996.4000000004</v>
      </c>
    </row>
    <row r="23" spans="1:7" ht="12.75">
      <c r="A23" s="5"/>
      <c r="B23" s="182"/>
      <c r="C23" s="182"/>
      <c r="D23" s="182"/>
      <c r="E23" s="182"/>
      <c r="F23" s="182"/>
      <c r="G23" s="182"/>
    </row>
    <row r="24" spans="1:7" ht="25.5">
      <c r="A24" s="197" t="s">
        <v>236</v>
      </c>
      <c r="B24" s="185" t="s">
        <v>47</v>
      </c>
      <c r="C24" s="185" t="str">
        <f>CV_NotEnoughData8</f>
        <v>N</v>
      </c>
      <c r="D24" s="185" t="str">
        <f>CV_NotEnoughData13</f>
        <v>N</v>
      </c>
      <c r="E24" s="185" t="str">
        <f>CV_NotEnoughData14</f>
        <v>N</v>
      </c>
      <c r="F24" s="185" t="str">
        <f>CV_NotEnoughData16</f>
        <v>Y</v>
      </c>
      <c r="G24" s="185" t="str">
        <f>CV_NotEnoughData14</f>
        <v>N</v>
      </c>
    </row>
    <row r="25" spans="1:7" ht="12.75">
      <c r="A25" s="5" t="s">
        <v>248</v>
      </c>
      <c r="B25" s="184"/>
      <c r="C25" s="539">
        <f>CV_Avg8</f>
        <v>0.004823928571428571</v>
      </c>
      <c r="D25" s="546">
        <f>CV_Avg13</f>
        <v>38</v>
      </c>
      <c r="E25" s="180">
        <f>CV_Avg14</f>
        <v>2.7369565217391303</v>
      </c>
      <c r="F25" s="184" t="str">
        <f>CV_Avg16</f>
        <v>N/A</v>
      </c>
      <c r="G25" s="180">
        <f>CV_Avg14</f>
        <v>2.7369565217391303</v>
      </c>
    </row>
    <row r="26" spans="1:7" ht="12.75">
      <c r="A26" s="5" t="s">
        <v>249</v>
      </c>
      <c r="B26" s="185"/>
      <c r="C26" s="539">
        <f>CV_StDev8</f>
        <v>0.002808181617116136</v>
      </c>
      <c r="D26" s="546">
        <f>CV_StDev13</f>
        <v>15.286733154154152</v>
      </c>
      <c r="E26" s="180">
        <f>CV_StDev14</f>
        <v>1.8047294282464463</v>
      </c>
      <c r="F26" s="185" t="str">
        <f>CV_StDev16</f>
        <v>N/A</v>
      </c>
      <c r="G26" s="180">
        <f>CV_StDev14</f>
        <v>1.8047294282464463</v>
      </c>
    </row>
    <row r="27" spans="1:7" ht="12.75">
      <c r="A27" s="5" t="s">
        <v>160</v>
      </c>
      <c r="B27" s="188" t="str">
        <f aca="true" t="shared" si="4" ref="B27:G27">IF(B24="N",IF(B25="","Enter avg of data points",IF(B26="","Enter SD",B26/B25)),IF(B24="Y","N/A","Enter Y/N in Row 23"))</f>
        <v>N/A</v>
      </c>
      <c r="C27" s="190">
        <f t="shared" si="4"/>
        <v>0.5821358205319598</v>
      </c>
      <c r="D27" s="190">
        <f t="shared" si="4"/>
        <v>0.40228245142510927</v>
      </c>
      <c r="E27" s="190">
        <f t="shared" si="4"/>
        <v>0.6593928014244363</v>
      </c>
      <c r="F27" s="188" t="str">
        <f t="shared" si="4"/>
        <v>N/A</v>
      </c>
      <c r="G27" s="190">
        <f t="shared" si="4"/>
        <v>0.6593928014244363</v>
      </c>
    </row>
    <row r="28" spans="1:7" ht="12.75">
      <c r="A28" s="5" t="s">
        <v>161</v>
      </c>
      <c r="B28" s="189">
        <f aca="true" t="shared" si="5" ref="B28:G28">IF(B24="Y",0.6,B27)</f>
        <v>0.6</v>
      </c>
      <c r="C28" s="544">
        <f t="shared" si="5"/>
        <v>0.5821358205319598</v>
      </c>
      <c r="D28" s="544">
        <f t="shared" si="5"/>
        <v>0.40228245142510927</v>
      </c>
      <c r="E28" s="544">
        <f t="shared" si="5"/>
        <v>0.6593928014244363</v>
      </c>
      <c r="F28" s="544">
        <f t="shared" si="5"/>
        <v>0.6</v>
      </c>
      <c r="G28" s="544">
        <f t="shared" si="5"/>
        <v>0.6593928014244363</v>
      </c>
    </row>
    <row r="29" spans="1:7" ht="12.75">
      <c r="A29" s="5"/>
      <c r="B29" s="187"/>
      <c r="C29" s="187"/>
      <c r="D29" s="187"/>
      <c r="E29" s="187"/>
      <c r="F29" s="187"/>
      <c r="G29" s="187"/>
    </row>
    <row r="30" spans="1:7" ht="12.75">
      <c r="A30" s="84" t="s">
        <v>162</v>
      </c>
      <c r="B30" s="190">
        <f aca="true" t="shared" si="6" ref="B30:G30">IF(B9="Y",IF(ISTEXT(B28),"",EXP(0.5*LN((B28^2)+1)-2.326*(LN((B28^2)+1))^0.5)),"N/A")</f>
        <v>0.32108321379047927</v>
      </c>
      <c r="C30" s="190">
        <f t="shared" si="6"/>
        <v>0.3293518802045219</v>
      </c>
      <c r="D30" s="190">
        <f t="shared" si="6"/>
        <v>0.4378629537731867</v>
      </c>
      <c r="E30" s="190">
        <f t="shared" si="6"/>
        <v>0.29609574463036387</v>
      </c>
      <c r="F30" s="190" t="str">
        <f t="shared" si="6"/>
        <v>N/A</v>
      </c>
      <c r="G30" s="190">
        <f t="shared" si="6"/>
        <v>0.29609574463036387</v>
      </c>
    </row>
    <row r="31" spans="1:7" ht="12.75">
      <c r="A31" s="84" t="s">
        <v>163</v>
      </c>
      <c r="B31" s="190">
        <f aca="true" t="shared" si="7" ref="B31:G31">IF(B9="Y",IF(ISTEXT(B28),"",EXP(0.5*LN(((B28^2)/4)+1)-2.326*(LN(((B28^2)/4)+1))^0.5)),"N/A")</f>
        <v>0.527433444097936</v>
      </c>
      <c r="C31" s="190">
        <f t="shared" si="7"/>
        <v>0.5365228878372802</v>
      </c>
      <c r="D31" s="190">
        <f t="shared" si="7"/>
        <v>0.6418549335856645</v>
      </c>
      <c r="E31" s="190">
        <f t="shared" si="7"/>
        <v>0.498783026786209</v>
      </c>
      <c r="F31" s="190" t="str">
        <f t="shared" si="7"/>
        <v>N/A</v>
      </c>
      <c r="G31" s="190">
        <f t="shared" si="7"/>
        <v>0.498783026786209</v>
      </c>
    </row>
    <row r="32" spans="1:7" ht="12.75">
      <c r="A32" s="5" t="s">
        <v>164</v>
      </c>
      <c r="B32" s="190">
        <f aca="true" t="shared" si="8" ref="B32:G32">IF(B9="Y",IF(ISTEXT(B20),"",IF(B30="","",B20*B30)),"N/A")</f>
        <v>58.4210907491777</v>
      </c>
      <c r="C32" s="190">
        <f t="shared" si="8"/>
        <v>0.691638948429496</v>
      </c>
      <c r="D32" s="538">
        <f t="shared" si="8"/>
        <v>264.34984549587267</v>
      </c>
      <c r="E32" s="191">
        <f t="shared" si="8"/>
        <v>1.8950127656343285</v>
      </c>
      <c r="F32" s="190" t="str">
        <f t="shared" si="8"/>
        <v>N/A</v>
      </c>
      <c r="G32" s="191">
        <f t="shared" si="8"/>
        <v>26.767055314584894</v>
      </c>
    </row>
    <row r="33" spans="1:7" ht="12.75">
      <c r="A33" s="5" t="s">
        <v>165</v>
      </c>
      <c r="B33" s="190">
        <f aca="true" t="shared" si="9" ref="B33:G33">IF(B9="Y",IF(ISTEXT(B21),"",IF(B31="","",B21*B31)),"N/A")</f>
        <v>56.9364402903722</v>
      </c>
      <c r="C33" s="188">
        <f t="shared" si="9"/>
        <v>0.013413072195932005</v>
      </c>
      <c r="D33" s="538">
        <f t="shared" si="9"/>
        <v>387.5053851028132</v>
      </c>
      <c r="E33" s="191">
        <f t="shared" si="9"/>
        <v>3.1922113714317373</v>
      </c>
      <c r="F33" s="190" t="str">
        <f t="shared" si="9"/>
        <v>N/A</v>
      </c>
      <c r="G33" s="191">
        <f t="shared" si="9"/>
        <v>12.669088880369708</v>
      </c>
    </row>
    <row r="34" spans="1:7" ht="12.75">
      <c r="A34" s="5" t="s">
        <v>166</v>
      </c>
      <c r="B34" s="190">
        <f aca="true" t="shared" si="10" ref="B34:G34">IF(B9="Y",MIN(B32:B33),"N/A")</f>
        <v>56.9364402903722</v>
      </c>
      <c r="C34" s="188">
        <f t="shared" si="10"/>
        <v>0.013413072195932005</v>
      </c>
      <c r="D34" s="538">
        <f t="shared" si="10"/>
        <v>264.34984549587267</v>
      </c>
      <c r="E34" s="191">
        <f t="shared" si="10"/>
        <v>1.8950127656343285</v>
      </c>
      <c r="F34" s="190" t="str">
        <f t="shared" si="10"/>
        <v>N/A</v>
      </c>
      <c r="G34" s="191">
        <f t="shared" si="10"/>
        <v>12.669088880369708</v>
      </c>
    </row>
    <row r="35" spans="1:7" ht="12.75">
      <c r="A35" s="5"/>
      <c r="B35" s="190"/>
      <c r="C35" s="190"/>
      <c r="D35" s="190"/>
      <c r="E35" s="190"/>
      <c r="F35" s="190"/>
      <c r="G35" s="190"/>
    </row>
    <row r="36" spans="1:7" ht="12.75">
      <c r="A36" s="5" t="s">
        <v>167</v>
      </c>
      <c r="B36" s="190">
        <f aca="true" t="shared" si="11" ref="B36:G36">IF(ISTEXT(B28),"",EXP(1.645*(LN(((B28^2)/B8)+1))^0.5-0.5*LN(((B28^2)/B8)+1)))</f>
        <v>1.5524246137530893</v>
      </c>
      <c r="C36" s="191">
        <f t="shared" si="11"/>
        <v>1.5348685654127003</v>
      </c>
      <c r="D36" s="191">
        <f t="shared" si="11"/>
        <v>1.3603903434103979</v>
      </c>
      <c r="E36" s="191">
        <f t="shared" si="11"/>
        <v>1.6109552453798157</v>
      </c>
      <c r="F36" s="191">
        <f t="shared" si="11"/>
        <v>1.5524246137530893</v>
      </c>
      <c r="G36" s="191">
        <f t="shared" si="11"/>
        <v>1.6109552453798157</v>
      </c>
    </row>
    <row r="37" spans="1:7" ht="12.75">
      <c r="A37" s="5" t="s">
        <v>168</v>
      </c>
      <c r="B37" s="190">
        <f aca="true" t="shared" si="12" ref="B37:G37">IF(ISTEXT(B28),"",EXP(2.326*(LN((B28^2)+1))^0.5-0.5*LN((B28^2)+1)))</f>
        <v>3.1144574273899703</v>
      </c>
      <c r="C37" s="191">
        <f t="shared" si="12"/>
        <v>3.036266255346765</v>
      </c>
      <c r="D37" s="191">
        <f t="shared" si="12"/>
        <v>2.2838196092698007</v>
      </c>
      <c r="E37" s="191">
        <f t="shared" si="12"/>
        <v>3.377285956096286</v>
      </c>
      <c r="F37" s="191">
        <f t="shared" si="12"/>
        <v>3.1144574273899703</v>
      </c>
      <c r="G37" s="191">
        <f t="shared" si="12"/>
        <v>3.377285956096286</v>
      </c>
    </row>
    <row r="38" spans="1:7" ht="12.75">
      <c r="A38" s="5" t="s">
        <v>169</v>
      </c>
      <c r="B38" s="190">
        <f aca="true" t="shared" si="13" ref="B38:G38">IF(B9="Y",B34*B36,"N/A")</f>
        <v>88.38953132625689</v>
      </c>
      <c r="C38" s="188">
        <f t="shared" si="13"/>
        <v>0.020587302879147135</v>
      </c>
      <c r="D38" s="538">
        <f t="shared" si="13"/>
        <v>359.61897709461584</v>
      </c>
      <c r="E38" s="191">
        <f t="shared" si="13"/>
        <v>3.0527807548603327</v>
      </c>
      <c r="F38" s="190" t="str">
        <f t="shared" si="13"/>
        <v>N/A</v>
      </c>
      <c r="G38" s="191">
        <f t="shared" si="13"/>
        <v>20.40933518601468</v>
      </c>
    </row>
    <row r="39" spans="1:7" ht="12.75">
      <c r="A39" s="5" t="s">
        <v>170</v>
      </c>
      <c r="B39" s="190">
        <f aca="true" t="shared" si="14" ref="B39:G39">IF(B9="Y",B34*B37,"N/A")</f>
        <v>177.32611935149524</v>
      </c>
      <c r="C39" s="188">
        <f t="shared" si="14"/>
        <v>0.04072565848903828</v>
      </c>
      <c r="D39" s="538">
        <f t="shared" si="14"/>
        <v>603.727360850916</v>
      </c>
      <c r="E39" s="191">
        <f t="shared" si="14"/>
        <v>6.4</v>
      </c>
      <c r="F39" s="190" t="str">
        <f t="shared" si="14"/>
        <v>N/A</v>
      </c>
      <c r="G39" s="191">
        <f t="shared" si="14"/>
        <v>42.78713595220823</v>
      </c>
    </row>
    <row r="40" spans="1:7" ht="12.75">
      <c r="A40" s="198"/>
      <c r="B40" s="190"/>
      <c r="C40" s="190"/>
      <c r="D40" s="190"/>
      <c r="E40" s="190"/>
      <c r="F40" s="190"/>
      <c r="G40" s="190"/>
    </row>
    <row r="41" spans="1:7" ht="12.75">
      <c r="A41" s="199" t="s">
        <v>171</v>
      </c>
      <c r="B41" s="190">
        <f aca="true" t="shared" si="15" ref="B41:G41">IF(B37="","",IF(B36="","",B37/B36))</f>
        <v>2.006189157140818</v>
      </c>
      <c r="C41" s="191">
        <f t="shared" si="15"/>
        <v>1.9781930021678202</v>
      </c>
      <c r="D41" s="191">
        <f t="shared" si="15"/>
        <v>1.678797280745491</v>
      </c>
      <c r="E41" s="191">
        <f t="shared" si="15"/>
        <v>2.0964492749145376</v>
      </c>
      <c r="F41" s="191">
        <f t="shared" si="15"/>
        <v>2.006189157140818</v>
      </c>
      <c r="G41" s="191">
        <f t="shared" si="15"/>
        <v>2.0964492749145376</v>
      </c>
    </row>
    <row r="42" spans="1:7" ht="12.75">
      <c r="A42" s="5" t="s">
        <v>172</v>
      </c>
      <c r="B42" s="239" t="str">
        <f aca="true" t="shared" si="16" ref="B42:G42">B22</f>
        <v>N/A</v>
      </c>
      <c r="C42" s="188">
        <f t="shared" si="16"/>
        <v>0.051</v>
      </c>
      <c r="D42" s="239" t="str">
        <f t="shared" si="16"/>
        <v>N/A</v>
      </c>
      <c r="E42" s="239">
        <f t="shared" si="16"/>
        <v>2199996.4000000004</v>
      </c>
      <c r="F42" s="239">
        <f t="shared" si="16"/>
        <v>1.4E-08</v>
      </c>
      <c r="G42" s="239">
        <f t="shared" si="16"/>
        <v>2199996.4000000004</v>
      </c>
    </row>
    <row r="43" spans="1:7" ht="12.75">
      <c r="A43" s="5" t="s">
        <v>173</v>
      </c>
      <c r="B43" s="239" t="str">
        <f aca="true" t="shared" si="17" ref="B43:G43">IF(B42="N/A","N/A",B42*B41)</f>
        <v>N/A</v>
      </c>
      <c r="C43" s="190">
        <f t="shared" si="17"/>
        <v>0.10088784311055883</v>
      </c>
      <c r="D43" s="239" t="str">
        <f t="shared" si="17"/>
        <v>N/A</v>
      </c>
      <c r="E43" s="239">
        <f t="shared" si="17"/>
        <v>4612180.857594593</v>
      </c>
      <c r="F43" s="239">
        <f t="shared" si="17"/>
        <v>2.8086648199971455E-08</v>
      </c>
      <c r="G43" s="239">
        <f t="shared" si="17"/>
        <v>4612180.857594593</v>
      </c>
    </row>
    <row r="44" spans="1:7" ht="12.75">
      <c r="A44" s="5"/>
      <c r="B44" s="186"/>
      <c r="C44" s="186"/>
      <c r="D44" s="186"/>
      <c r="E44" s="186"/>
      <c r="F44" s="186"/>
      <c r="G44" s="186"/>
    </row>
    <row r="45" spans="1:7" ht="12.75">
      <c r="A45" s="5" t="s">
        <v>174</v>
      </c>
      <c r="B45" s="191">
        <f aca="true" t="shared" si="18" ref="B45:G45">IF(B9="Y",IF(B10="Y",MIN(B38,B42),IF(B10="N",B38,"check Y/N input for HH criteria")),IF(B9="N",IF(B10="Y",B42,IF(B10="N","No Aq/HH criteria","Check Y/N input for HH criteria")),"Check Y/N input for Aq/HH criteria"))</f>
        <v>88.38953132625689</v>
      </c>
      <c r="C45" s="188">
        <f t="shared" si="18"/>
        <v>0.020587302879147135</v>
      </c>
      <c r="D45" s="538">
        <f t="shared" si="18"/>
        <v>359.61897709461584</v>
      </c>
      <c r="E45" s="191">
        <f t="shared" si="18"/>
        <v>3.0527807548603327</v>
      </c>
      <c r="F45" s="239">
        <f t="shared" si="18"/>
        <v>1.4E-08</v>
      </c>
      <c r="G45" s="191">
        <f t="shared" si="18"/>
        <v>20.40933518601468</v>
      </c>
    </row>
    <row r="46" spans="1:7" ht="12.75">
      <c r="A46" s="200" t="s">
        <v>175</v>
      </c>
      <c r="B46" s="191">
        <f aca="true" t="shared" si="19" ref="B46:G46">IF(B9="Y",IF(B10="Y",MIN(B39,B43),IF(B10="N",B39,"check Y/N input for HH criteria")),IF(B9="N",IF(B10="Y",B43,IF(B10="N","No Aq/HH criteria","Check Y/N input for HH criteria")),"Check Y/N input for Aq/HH criteria"))</f>
        <v>177.32611935149524</v>
      </c>
      <c r="C46" s="188">
        <f t="shared" si="19"/>
        <v>0.04072565848903828</v>
      </c>
      <c r="D46" s="538">
        <f t="shared" si="19"/>
        <v>603.727360850916</v>
      </c>
      <c r="E46" s="191">
        <f t="shared" si="19"/>
        <v>6.4</v>
      </c>
      <c r="F46" s="239">
        <f t="shared" si="19"/>
        <v>2.8086648199971455E-08</v>
      </c>
      <c r="G46" s="191">
        <f t="shared" si="19"/>
        <v>42.78713595220823</v>
      </c>
    </row>
    <row r="47" spans="1:7" ht="12.75">
      <c r="A47" s="200" t="s">
        <v>250</v>
      </c>
      <c r="B47" s="182" t="s">
        <v>251</v>
      </c>
      <c r="C47" s="182"/>
      <c r="D47" s="182"/>
      <c r="E47" s="182"/>
      <c r="F47" s="182"/>
      <c r="G47" s="182"/>
    </row>
    <row r="48" spans="1:7" ht="12.75">
      <c r="A48" s="200" t="s">
        <v>252</v>
      </c>
      <c r="B48" s="182" t="s">
        <v>251</v>
      </c>
      <c r="C48" s="182"/>
      <c r="D48" s="182"/>
      <c r="E48" s="182"/>
      <c r="F48" s="182"/>
      <c r="G48" s="182"/>
    </row>
    <row r="49" spans="1:7" ht="12.75">
      <c r="A49" s="200"/>
      <c r="B49" s="192"/>
      <c r="C49" s="192"/>
      <c r="D49" s="192"/>
      <c r="E49" s="192"/>
      <c r="F49" s="192"/>
      <c r="G49" s="192"/>
    </row>
    <row r="50" spans="1:7" ht="12.75">
      <c r="A50" s="200" t="s">
        <v>253</v>
      </c>
      <c r="B50" s="191">
        <f aca="true" t="shared" si="20" ref="B50:F51">IF(ISNUMBER(B47),MIN(B45,B47),B45)</f>
        <v>88.38953132625689</v>
      </c>
      <c r="C50" s="188">
        <f t="shared" si="20"/>
        <v>0.020587302879147135</v>
      </c>
      <c r="D50" s="538">
        <f t="shared" si="20"/>
        <v>359.61897709461584</v>
      </c>
      <c r="E50" s="191">
        <f t="shared" si="20"/>
        <v>3.0527807548603327</v>
      </c>
      <c r="F50" s="239">
        <f t="shared" si="20"/>
        <v>1.4E-08</v>
      </c>
      <c r="G50" s="191">
        <f>IF(ISNUMBER(G47),MIN(G45,G47),G45)</f>
        <v>20.40933518601468</v>
      </c>
    </row>
    <row r="51" spans="1:7" ht="12.75">
      <c r="A51" s="200" t="s">
        <v>254</v>
      </c>
      <c r="B51" s="191">
        <f t="shared" si="20"/>
        <v>177.32611935149524</v>
      </c>
      <c r="C51" s="188">
        <f t="shared" si="20"/>
        <v>0.04072565848903828</v>
      </c>
      <c r="D51" s="538">
        <f t="shared" si="20"/>
        <v>603.727360850916</v>
      </c>
      <c r="E51" s="191">
        <f t="shared" si="20"/>
        <v>6.4</v>
      </c>
      <c r="F51" s="239">
        <f t="shared" si="20"/>
        <v>2.8086648199971455E-08</v>
      </c>
      <c r="G51" s="191">
        <f>IF(ISNUMBER(G48),MIN(G46,G48),G46)</f>
        <v>42.78713595220823</v>
      </c>
    </row>
    <row r="52" spans="1:7" ht="12.75">
      <c r="A52" s="200" t="s">
        <v>233</v>
      </c>
      <c r="B52" s="213">
        <v>46.1</v>
      </c>
      <c r="C52" s="545">
        <f>MEC8</f>
        <v>0.014</v>
      </c>
      <c r="D52" s="548">
        <f>MEC13</f>
        <v>68</v>
      </c>
      <c r="E52" s="213">
        <f>MEC14</f>
        <v>8</v>
      </c>
      <c r="F52" s="549">
        <f>MEC16</f>
        <v>4.1369000000000005E-08</v>
      </c>
      <c r="G52" s="213">
        <f>MEC14</f>
        <v>8</v>
      </c>
    </row>
    <row r="53" spans="1:7" ht="12.75">
      <c r="A53" s="5" t="s">
        <v>255</v>
      </c>
      <c r="B53" s="339" t="s">
        <v>435</v>
      </c>
      <c r="C53" s="339"/>
      <c r="D53" s="339"/>
      <c r="E53" s="339"/>
      <c r="F53" s="339"/>
      <c r="G53" s="339"/>
    </row>
    <row r="54" spans="1:7" ht="12.75">
      <c r="A54" s="200" t="s">
        <v>301</v>
      </c>
      <c r="B54" s="67"/>
      <c r="C54" s="67"/>
      <c r="D54" s="67"/>
      <c r="E54" s="67"/>
      <c r="F54" s="67"/>
      <c r="G54" s="67"/>
    </row>
    <row r="55" spans="1:6" ht="12.75">
      <c r="A55" s="201"/>
      <c r="B55" s="14"/>
      <c r="C55" s="14"/>
      <c r="D55" s="14"/>
      <c r="E55" s="14"/>
      <c r="F55" s="14"/>
    </row>
    <row r="56" ht="12.75">
      <c r="A56" s="202" t="s">
        <v>488</v>
      </c>
    </row>
    <row r="57" ht="12.75">
      <c r="A57" s="175"/>
    </row>
  </sheetData>
  <conditionalFormatting sqref="B7:G7">
    <cfRule type="expression" priority="1" dxfId="7" stopIfTrue="1">
      <formula>IF(AND(IF(B17="Y",1,0),B7&lt;&gt;0),1,)</formula>
    </cfRule>
  </conditionalFormatting>
  <conditionalFormatting sqref="B20:G22">
    <cfRule type="expression" priority="2" dxfId="7" stopIfTrue="1">
      <formula>IF(LEFT(B20,5)="Enter",1,0)</formula>
    </cfRule>
  </conditionalFormatting>
  <printOptions/>
  <pageMargins left="0.75" right="0.75" top="1" bottom="1" header="0.5" footer="0.5"/>
  <pageSetup fitToHeight="1" fitToWidth="1" horizontalDpi="600" verticalDpi="600" orientation="portrait" scale="91" r:id="rId3"/>
  <headerFooter alignWithMargins="0">
    <oddHeader>&amp;C&amp;14Attachment 2.
Calculation of Final WQBELs&amp;R&amp;12Rodeo Sanitary District
Tentative Order</oddHeader>
    <oddFooter>&amp;L&amp;F.xls &amp; (&amp;A&amp; )&amp;CPage &amp;P of &amp;N&amp;R&amp;D</oddFooter>
  </headerFooter>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M1357"/>
  <sheetViews>
    <sheetView zoomScale="85" zoomScaleNormal="85" workbookViewId="0" topLeftCell="A1">
      <pane ySplit="1" topLeftCell="BM2" activePane="bottomLeft" state="frozen"/>
      <selection pane="topLeft" activeCell="A3" sqref="A3"/>
      <selection pane="bottomLeft" activeCell="A1" sqref="A1"/>
    </sheetView>
  </sheetViews>
  <sheetFormatPr defaultColWidth="9.140625" defaultRowHeight="12.75"/>
  <cols>
    <col min="2" max="2" width="10.8515625" style="0" customWidth="1"/>
    <col min="3" max="3" width="13.8515625" style="0" customWidth="1"/>
    <col min="13" max="13" width="13.140625" style="0" customWidth="1"/>
  </cols>
  <sheetData>
    <row r="1" spans="1:13" ht="12.75">
      <c r="A1" s="343" t="s">
        <v>313</v>
      </c>
      <c r="B1" s="343" t="s">
        <v>314</v>
      </c>
      <c r="C1" s="343" t="s">
        <v>315</v>
      </c>
      <c r="D1" s="343" t="s">
        <v>234</v>
      </c>
      <c r="E1" s="343" t="s">
        <v>271</v>
      </c>
      <c r="F1" s="343" t="s">
        <v>268</v>
      </c>
      <c r="G1" s="343" t="s">
        <v>316</v>
      </c>
      <c r="H1" s="343" t="s">
        <v>263</v>
      </c>
      <c r="I1" s="343" t="s">
        <v>264</v>
      </c>
      <c r="J1" s="343" t="s">
        <v>265</v>
      </c>
      <c r="K1" s="343" t="s">
        <v>317</v>
      </c>
      <c r="L1" s="343" t="s">
        <v>266</v>
      </c>
      <c r="M1" s="295"/>
    </row>
    <row r="2" spans="1:13" ht="12.75">
      <c r="A2" s="461" t="s">
        <v>318</v>
      </c>
      <c r="B2" s="455" t="s">
        <v>319</v>
      </c>
      <c r="C2" s="456" t="s">
        <v>320</v>
      </c>
      <c r="D2" s="454">
        <v>37518</v>
      </c>
      <c r="E2" s="455" t="s">
        <v>245</v>
      </c>
      <c r="F2" s="457">
        <v>0.2</v>
      </c>
      <c r="G2" s="462" t="s">
        <v>321</v>
      </c>
      <c r="H2" s="463">
        <v>0.5</v>
      </c>
      <c r="I2" s="455">
        <v>0.2</v>
      </c>
      <c r="J2" s="455" t="s">
        <v>322</v>
      </c>
      <c r="K2" s="464">
        <v>1</v>
      </c>
      <c r="L2" s="465" t="s">
        <v>322</v>
      </c>
      <c r="M2" s="297"/>
    </row>
    <row r="3" spans="1:13" ht="12.75">
      <c r="A3" s="466" t="s">
        <v>318</v>
      </c>
      <c r="B3" s="450" t="s">
        <v>319</v>
      </c>
      <c r="C3" s="458" t="s">
        <v>320</v>
      </c>
      <c r="D3" s="452">
        <v>37591</v>
      </c>
      <c r="E3" s="453" t="s">
        <v>245</v>
      </c>
      <c r="F3" s="459">
        <v>0.2</v>
      </c>
      <c r="G3" s="467" t="s">
        <v>321</v>
      </c>
      <c r="H3" s="468">
        <v>0.5</v>
      </c>
      <c r="I3" s="450">
        <v>0.2</v>
      </c>
      <c r="J3" s="450"/>
      <c r="K3" s="469">
        <v>1</v>
      </c>
      <c r="L3" s="470"/>
      <c r="M3" s="297"/>
    </row>
    <row r="4" spans="1:13" ht="12.75">
      <c r="A4" s="466" t="s">
        <v>318</v>
      </c>
      <c r="B4" s="450" t="s">
        <v>319</v>
      </c>
      <c r="C4" s="458" t="s">
        <v>320</v>
      </c>
      <c r="D4" s="452">
        <v>37681</v>
      </c>
      <c r="E4" s="453" t="s">
        <v>245</v>
      </c>
      <c r="F4" s="459">
        <v>0.2</v>
      </c>
      <c r="G4" s="467" t="s">
        <v>321</v>
      </c>
      <c r="H4" s="468">
        <v>0.5</v>
      </c>
      <c r="I4" s="450">
        <v>0.2</v>
      </c>
      <c r="J4" s="450"/>
      <c r="K4" s="469">
        <v>1</v>
      </c>
      <c r="L4" s="470"/>
      <c r="M4" s="296"/>
    </row>
    <row r="5" spans="1:13" ht="12.75">
      <c r="A5" s="466" t="s">
        <v>318</v>
      </c>
      <c r="B5" s="450" t="s">
        <v>319</v>
      </c>
      <c r="C5" s="458" t="s">
        <v>320</v>
      </c>
      <c r="D5" s="452">
        <v>37773</v>
      </c>
      <c r="E5" s="453" t="s">
        <v>259</v>
      </c>
      <c r="F5" s="460">
        <v>0.3</v>
      </c>
      <c r="G5" s="467" t="s">
        <v>321</v>
      </c>
      <c r="H5" s="468">
        <v>0.5</v>
      </c>
      <c r="I5" s="450">
        <v>0.2</v>
      </c>
      <c r="J5" s="450"/>
      <c r="K5" s="469">
        <v>1</v>
      </c>
      <c r="L5" s="471"/>
      <c r="M5" s="340"/>
    </row>
    <row r="6" spans="1:13" ht="12.75">
      <c r="A6" s="466" t="s">
        <v>318</v>
      </c>
      <c r="B6" s="450" t="s">
        <v>319</v>
      </c>
      <c r="C6" s="458" t="s">
        <v>320</v>
      </c>
      <c r="D6" s="452">
        <v>37865</v>
      </c>
      <c r="E6" s="453" t="s">
        <v>245</v>
      </c>
      <c r="F6" s="459">
        <v>0.2</v>
      </c>
      <c r="G6" s="467" t="s">
        <v>321</v>
      </c>
      <c r="H6" s="468">
        <v>0.5</v>
      </c>
      <c r="I6" s="450">
        <v>0.2</v>
      </c>
      <c r="J6" s="450"/>
      <c r="K6" s="469">
        <v>1</v>
      </c>
      <c r="L6" s="471"/>
      <c r="M6" s="298"/>
    </row>
    <row r="7" spans="1:13" ht="12.75">
      <c r="A7" s="466" t="s">
        <v>318</v>
      </c>
      <c r="B7" s="450" t="s">
        <v>319</v>
      </c>
      <c r="C7" s="458" t="s">
        <v>320</v>
      </c>
      <c r="D7" s="452">
        <v>37956</v>
      </c>
      <c r="E7" s="453" t="s">
        <v>259</v>
      </c>
      <c r="F7" s="460">
        <v>0.4</v>
      </c>
      <c r="G7" s="467" t="s">
        <v>321</v>
      </c>
      <c r="H7" s="468">
        <v>0.5</v>
      </c>
      <c r="I7" s="450">
        <v>0.2</v>
      </c>
      <c r="J7" s="450"/>
      <c r="K7" s="469">
        <v>1</v>
      </c>
      <c r="L7" s="471"/>
      <c r="M7" s="341"/>
    </row>
    <row r="8" spans="1:13" ht="12.75">
      <c r="A8" s="466" t="s">
        <v>318</v>
      </c>
      <c r="B8" s="450" t="s">
        <v>319</v>
      </c>
      <c r="C8" s="458" t="s">
        <v>320</v>
      </c>
      <c r="D8" s="452">
        <v>38047</v>
      </c>
      <c r="E8" s="453" t="s">
        <v>245</v>
      </c>
      <c r="F8" s="459">
        <v>0.2</v>
      </c>
      <c r="G8" s="467" t="s">
        <v>321</v>
      </c>
      <c r="H8" s="468">
        <v>0.5</v>
      </c>
      <c r="I8" s="450">
        <v>0.2</v>
      </c>
      <c r="J8" s="450"/>
      <c r="K8" s="469">
        <v>1</v>
      </c>
      <c r="L8" s="471"/>
      <c r="M8" s="340"/>
    </row>
    <row r="9" spans="1:13" ht="12.75">
      <c r="A9" s="466" t="s">
        <v>318</v>
      </c>
      <c r="B9" s="450" t="s">
        <v>319</v>
      </c>
      <c r="C9" s="458" t="s">
        <v>320</v>
      </c>
      <c r="D9" s="452">
        <v>38139</v>
      </c>
      <c r="E9" s="453" t="s">
        <v>259</v>
      </c>
      <c r="F9" s="460">
        <v>0.47</v>
      </c>
      <c r="G9" s="467" t="s">
        <v>321</v>
      </c>
      <c r="H9" s="468">
        <v>0.5</v>
      </c>
      <c r="I9" s="450">
        <v>0.2</v>
      </c>
      <c r="J9" s="450"/>
      <c r="K9" s="469">
        <v>1</v>
      </c>
      <c r="L9" s="471"/>
      <c r="M9" s="340"/>
    </row>
    <row r="10" spans="1:13" ht="12.75">
      <c r="A10" s="466" t="s">
        <v>318</v>
      </c>
      <c r="B10" s="450" t="s">
        <v>319</v>
      </c>
      <c r="C10" s="458" t="s">
        <v>320</v>
      </c>
      <c r="D10" s="452">
        <v>38231</v>
      </c>
      <c r="E10" s="453" t="s">
        <v>245</v>
      </c>
      <c r="F10" s="460">
        <v>0.4</v>
      </c>
      <c r="G10" s="467" t="s">
        <v>321</v>
      </c>
      <c r="H10" s="468">
        <v>0.5</v>
      </c>
      <c r="I10" s="450">
        <v>0.2</v>
      </c>
      <c r="J10" s="450"/>
      <c r="K10" s="469">
        <v>1</v>
      </c>
      <c r="L10" s="471"/>
      <c r="M10" s="510"/>
    </row>
    <row r="11" spans="1:13" ht="12.75">
      <c r="A11" s="466" t="s">
        <v>318</v>
      </c>
      <c r="B11" s="450" t="s">
        <v>319</v>
      </c>
      <c r="C11" s="458" t="s">
        <v>320</v>
      </c>
      <c r="D11" s="452">
        <v>38322</v>
      </c>
      <c r="E11" s="453" t="s">
        <v>245</v>
      </c>
      <c r="F11" s="459">
        <v>0.2</v>
      </c>
      <c r="G11" s="467" t="s">
        <v>321</v>
      </c>
      <c r="H11" s="468">
        <v>0.5</v>
      </c>
      <c r="I11" s="450">
        <v>0.2</v>
      </c>
      <c r="J11" s="450"/>
      <c r="K11" s="469">
        <v>1</v>
      </c>
      <c r="L11" s="471"/>
      <c r="M11" s="510"/>
    </row>
    <row r="12" spans="1:13" ht="12.75">
      <c r="A12" s="466" t="s">
        <v>318</v>
      </c>
      <c r="B12" s="450" t="s">
        <v>319</v>
      </c>
      <c r="C12" s="458" t="s">
        <v>320</v>
      </c>
      <c r="D12" s="452">
        <v>38412</v>
      </c>
      <c r="E12" s="453" t="s">
        <v>259</v>
      </c>
      <c r="F12" s="460">
        <v>0.4</v>
      </c>
      <c r="G12" s="467" t="s">
        <v>321</v>
      </c>
      <c r="H12" s="468">
        <v>0.5</v>
      </c>
      <c r="I12" s="450">
        <v>0.2</v>
      </c>
      <c r="J12" s="450"/>
      <c r="K12" s="469">
        <v>1</v>
      </c>
      <c r="L12" s="471"/>
      <c r="M12" s="510"/>
    </row>
    <row r="13" spans="1:13" ht="12.75">
      <c r="A13" s="466" t="s">
        <v>318</v>
      </c>
      <c r="B13" s="450" t="s">
        <v>319</v>
      </c>
      <c r="C13" s="458" t="s">
        <v>320</v>
      </c>
      <c r="D13" s="452">
        <v>38504</v>
      </c>
      <c r="E13" s="453" t="s">
        <v>245</v>
      </c>
      <c r="F13" s="459">
        <v>0.2</v>
      </c>
      <c r="G13" s="467" t="s">
        <v>321</v>
      </c>
      <c r="H13" s="468">
        <v>0.5</v>
      </c>
      <c r="I13" s="450">
        <v>0.2</v>
      </c>
      <c r="J13" s="450"/>
      <c r="K13" s="469">
        <v>1</v>
      </c>
      <c r="L13" s="471"/>
      <c r="M13" s="510"/>
    </row>
    <row r="14" spans="1:13" ht="12.75">
      <c r="A14" s="466" t="s">
        <v>318</v>
      </c>
      <c r="B14" s="450" t="s">
        <v>319</v>
      </c>
      <c r="C14" s="458" t="s">
        <v>320</v>
      </c>
      <c r="D14" s="452">
        <v>38596</v>
      </c>
      <c r="E14" s="453" t="s">
        <v>245</v>
      </c>
      <c r="F14" s="459">
        <v>0.2</v>
      </c>
      <c r="G14" s="467" t="s">
        <v>321</v>
      </c>
      <c r="H14" s="468">
        <v>0.5</v>
      </c>
      <c r="I14" s="450">
        <v>0.2</v>
      </c>
      <c r="J14" s="450"/>
      <c r="K14" s="469">
        <v>1</v>
      </c>
      <c r="L14" s="471"/>
      <c r="M14" s="511"/>
    </row>
    <row r="15" spans="1:13" ht="12.75">
      <c r="A15" s="466" t="s">
        <v>318</v>
      </c>
      <c r="B15" s="450" t="s">
        <v>319</v>
      </c>
      <c r="C15" s="458" t="s">
        <v>320</v>
      </c>
      <c r="D15" s="452">
        <v>38687</v>
      </c>
      <c r="E15" s="453" t="s">
        <v>245</v>
      </c>
      <c r="F15" s="460">
        <v>0.1</v>
      </c>
      <c r="G15" s="467" t="s">
        <v>321</v>
      </c>
      <c r="H15" s="468">
        <v>0.5</v>
      </c>
      <c r="I15" s="450">
        <v>0.2</v>
      </c>
      <c r="J15" s="450"/>
      <c r="K15" s="469">
        <v>1</v>
      </c>
      <c r="L15" s="470"/>
      <c r="M15" s="512"/>
    </row>
    <row r="16" spans="1:13" ht="12.75">
      <c r="A16" s="466" t="s">
        <v>318</v>
      </c>
      <c r="B16" s="450" t="s">
        <v>323</v>
      </c>
      <c r="C16" s="458" t="s">
        <v>324</v>
      </c>
      <c r="D16" s="449">
        <v>36591</v>
      </c>
      <c r="E16" s="450" t="s">
        <v>322</v>
      </c>
      <c r="F16" s="467">
        <v>7</v>
      </c>
      <c r="G16" s="467" t="s">
        <v>321</v>
      </c>
      <c r="H16" s="468" t="s">
        <v>322</v>
      </c>
      <c r="I16" s="450" t="s">
        <v>322</v>
      </c>
      <c r="J16" s="450" t="s">
        <v>322</v>
      </c>
      <c r="K16" s="469">
        <v>2</v>
      </c>
      <c r="L16" s="470" t="s">
        <v>322</v>
      </c>
      <c r="M16" s="510"/>
    </row>
    <row r="17" spans="1:13" ht="12.75">
      <c r="A17" s="466" t="s">
        <v>318</v>
      </c>
      <c r="B17" s="450" t="s">
        <v>323</v>
      </c>
      <c r="C17" s="458" t="s">
        <v>324</v>
      </c>
      <c r="D17" s="449">
        <v>36682</v>
      </c>
      <c r="E17" s="453" t="s">
        <v>245</v>
      </c>
      <c r="F17" s="467">
        <v>4</v>
      </c>
      <c r="G17" s="467" t="s">
        <v>321</v>
      </c>
      <c r="H17" s="468"/>
      <c r="I17" s="450" t="s">
        <v>322</v>
      </c>
      <c r="J17" s="450" t="s">
        <v>322</v>
      </c>
      <c r="K17" s="469">
        <v>2</v>
      </c>
      <c r="L17" s="470" t="s">
        <v>322</v>
      </c>
      <c r="M17" s="509"/>
    </row>
    <row r="18" spans="1:13" ht="12.75">
      <c r="A18" s="466" t="s">
        <v>318</v>
      </c>
      <c r="B18" s="450" t="s">
        <v>323</v>
      </c>
      <c r="C18" s="458" t="s">
        <v>324</v>
      </c>
      <c r="D18" s="449">
        <v>36775</v>
      </c>
      <c r="E18" s="453" t="s">
        <v>245</v>
      </c>
      <c r="F18" s="467">
        <v>4</v>
      </c>
      <c r="G18" s="467" t="s">
        <v>321</v>
      </c>
      <c r="H18" s="468" t="s">
        <v>322</v>
      </c>
      <c r="I18" s="450" t="s">
        <v>322</v>
      </c>
      <c r="J18" s="450" t="s">
        <v>322</v>
      </c>
      <c r="K18" s="469">
        <v>2</v>
      </c>
      <c r="L18" s="470" t="s">
        <v>322</v>
      </c>
      <c r="M18" s="509"/>
    </row>
    <row r="19" spans="1:13" ht="12.75">
      <c r="A19" s="466" t="s">
        <v>318</v>
      </c>
      <c r="B19" s="450" t="s">
        <v>323</v>
      </c>
      <c r="C19" s="458" t="s">
        <v>324</v>
      </c>
      <c r="D19" s="449">
        <v>36865</v>
      </c>
      <c r="E19" s="453" t="s">
        <v>245</v>
      </c>
      <c r="F19" s="467">
        <v>4</v>
      </c>
      <c r="G19" s="467" t="s">
        <v>321</v>
      </c>
      <c r="H19" s="468" t="s">
        <v>322</v>
      </c>
      <c r="I19" s="450" t="s">
        <v>322</v>
      </c>
      <c r="J19" s="450" t="s">
        <v>322</v>
      </c>
      <c r="K19" s="469">
        <v>2</v>
      </c>
      <c r="L19" s="470" t="s">
        <v>322</v>
      </c>
      <c r="M19" s="509"/>
    </row>
    <row r="20" spans="1:13" ht="12.75">
      <c r="A20" s="466" t="s">
        <v>318</v>
      </c>
      <c r="B20" s="450" t="s">
        <v>323</v>
      </c>
      <c r="C20" s="458" t="s">
        <v>324</v>
      </c>
      <c r="D20" s="449">
        <v>36957</v>
      </c>
      <c r="E20" s="453" t="s">
        <v>245</v>
      </c>
      <c r="F20" s="467">
        <v>4</v>
      </c>
      <c r="G20" s="467" t="s">
        <v>321</v>
      </c>
      <c r="H20" s="468" t="s">
        <v>322</v>
      </c>
      <c r="I20" s="450" t="s">
        <v>322</v>
      </c>
      <c r="J20" s="450" t="s">
        <v>322</v>
      </c>
      <c r="K20" s="469">
        <v>2</v>
      </c>
      <c r="L20" s="470" t="s">
        <v>322</v>
      </c>
      <c r="M20" s="509"/>
    </row>
    <row r="21" spans="1:13" ht="12.75">
      <c r="A21" s="466" t="s">
        <v>318</v>
      </c>
      <c r="B21" s="450" t="s">
        <v>323</v>
      </c>
      <c r="C21" s="458" t="s">
        <v>324</v>
      </c>
      <c r="D21" s="449">
        <v>37050</v>
      </c>
      <c r="E21" s="453" t="s">
        <v>322</v>
      </c>
      <c r="F21" s="467">
        <v>1.7</v>
      </c>
      <c r="G21" s="467" t="s">
        <v>321</v>
      </c>
      <c r="H21" s="468" t="s">
        <v>322</v>
      </c>
      <c r="I21" s="450" t="s">
        <v>322</v>
      </c>
      <c r="J21" s="450" t="s">
        <v>322</v>
      </c>
      <c r="K21" s="469">
        <v>2</v>
      </c>
      <c r="L21" s="472"/>
      <c r="M21" s="509"/>
    </row>
    <row r="22" spans="1:13" ht="12.75">
      <c r="A22" s="466" t="s">
        <v>318</v>
      </c>
      <c r="B22" s="450" t="s">
        <v>323</v>
      </c>
      <c r="C22" s="458" t="s">
        <v>324</v>
      </c>
      <c r="D22" s="449">
        <v>37139</v>
      </c>
      <c r="E22" s="450" t="s">
        <v>322</v>
      </c>
      <c r="F22" s="467">
        <v>1.5</v>
      </c>
      <c r="G22" s="467" t="s">
        <v>321</v>
      </c>
      <c r="H22" s="468" t="s">
        <v>322</v>
      </c>
      <c r="I22" s="450" t="s">
        <v>322</v>
      </c>
      <c r="J22" s="450" t="s">
        <v>322</v>
      </c>
      <c r="K22" s="469">
        <v>2</v>
      </c>
      <c r="L22" s="470" t="s">
        <v>322</v>
      </c>
      <c r="M22" s="509"/>
    </row>
    <row r="23" spans="1:13" ht="12.75">
      <c r="A23" s="466" t="s">
        <v>318</v>
      </c>
      <c r="B23" s="450" t="s">
        <v>323</v>
      </c>
      <c r="C23" s="458" t="s">
        <v>324</v>
      </c>
      <c r="D23" s="449">
        <v>37231</v>
      </c>
      <c r="E23" s="450" t="s">
        <v>322</v>
      </c>
      <c r="F23" s="467">
        <v>4.8</v>
      </c>
      <c r="G23" s="467" t="s">
        <v>321</v>
      </c>
      <c r="H23" s="468" t="s">
        <v>322</v>
      </c>
      <c r="I23" s="450" t="s">
        <v>322</v>
      </c>
      <c r="J23" s="450" t="s">
        <v>322</v>
      </c>
      <c r="K23" s="469">
        <v>2</v>
      </c>
      <c r="L23" s="470" t="s">
        <v>322</v>
      </c>
      <c r="M23" s="509"/>
    </row>
    <row r="24" spans="1:13" ht="12.75">
      <c r="A24" s="466" t="s">
        <v>318</v>
      </c>
      <c r="B24" s="450" t="s">
        <v>323</v>
      </c>
      <c r="C24" s="458" t="s">
        <v>324</v>
      </c>
      <c r="D24" s="449">
        <v>37336</v>
      </c>
      <c r="E24" s="450" t="s">
        <v>322</v>
      </c>
      <c r="F24" s="467">
        <v>3.2</v>
      </c>
      <c r="G24" s="467" t="s">
        <v>321</v>
      </c>
      <c r="H24" s="468" t="s">
        <v>322</v>
      </c>
      <c r="I24" s="450" t="s">
        <v>322</v>
      </c>
      <c r="J24" s="450" t="s">
        <v>322</v>
      </c>
      <c r="K24" s="469">
        <v>2</v>
      </c>
      <c r="L24" s="470" t="s">
        <v>322</v>
      </c>
      <c r="M24" s="509"/>
    </row>
    <row r="25" spans="1:13" ht="12.75">
      <c r="A25" s="466" t="s">
        <v>318</v>
      </c>
      <c r="B25" s="450" t="s">
        <v>323</v>
      </c>
      <c r="C25" s="458" t="s">
        <v>324</v>
      </c>
      <c r="D25" s="449">
        <v>37428</v>
      </c>
      <c r="E25" s="450" t="s">
        <v>322</v>
      </c>
      <c r="F25" s="467">
        <v>2.6</v>
      </c>
      <c r="G25" s="467" t="s">
        <v>321</v>
      </c>
      <c r="H25" s="468" t="s">
        <v>322</v>
      </c>
      <c r="I25" s="450" t="s">
        <v>322</v>
      </c>
      <c r="J25" s="450" t="s">
        <v>322</v>
      </c>
      <c r="K25" s="469">
        <v>2</v>
      </c>
      <c r="L25" s="470" t="s">
        <v>322</v>
      </c>
      <c r="M25" s="509"/>
    </row>
    <row r="26" spans="1:13" ht="12.75">
      <c r="A26" s="466" t="s">
        <v>318</v>
      </c>
      <c r="B26" s="450" t="s">
        <v>323</v>
      </c>
      <c r="C26" s="458" t="s">
        <v>324</v>
      </c>
      <c r="D26" s="449">
        <v>37518</v>
      </c>
      <c r="E26" s="450" t="s">
        <v>322</v>
      </c>
      <c r="F26" s="467">
        <v>1.6</v>
      </c>
      <c r="G26" s="467" t="s">
        <v>321</v>
      </c>
      <c r="H26" s="468" t="s">
        <v>322</v>
      </c>
      <c r="I26" s="450" t="s">
        <v>322</v>
      </c>
      <c r="J26" s="450" t="s">
        <v>322</v>
      </c>
      <c r="K26" s="469">
        <v>2</v>
      </c>
      <c r="L26" s="470" t="s">
        <v>322</v>
      </c>
      <c r="M26" s="509"/>
    </row>
    <row r="27" spans="1:13" ht="12.75">
      <c r="A27" s="466" t="s">
        <v>318</v>
      </c>
      <c r="B27" s="450" t="s">
        <v>323</v>
      </c>
      <c r="C27" s="458" t="s">
        <v>324</v>
      </c>
      <c r="D27" s="449">
        <v>37610</v>
      </c>
      <c r="E27" s="450" t="s">
        <v>322</v>
      </c>
      <c r="F27" s="467">
        <v>8.2</v>
      </c>
      <c r="G27" s="467" t="s">
        <v>321</v>
      </c>
      <c r="H27" s="468" t="s">
        <v>322</v>
      </c>
      <c r="I27" s="450" t="s">
        <v>322</v>
      </c>
      <c r="J27" s="450" t="s">
        <v>322</v>
      </c>
      <c r="K27" s="469">
        <v>2</v>
      </c>
      <c r="L27" s="470" t="s">
        <v>322</v>
      </c>
      <c r="M27" s="509"/>
    </row>
    <row r="28" spans="1:13" ht="12.75">
      <c r="A28" s="466" t="s">
        <v>318</v>
      </c>
      <c r="B28" s="450" t="s">
        <v>323</v>
      </c>
      <c r="C28" s="458" t="s">
        <v>324</v>
      </c>
      <c r="D28" s="449">
        <v>37701</v>
      </c>
      <c r="E28" s="450" t="s">
        <v>322</v>
      </c>
      <c r="F28" s="467">
        <v>3.2</v>
      </c>
      <c r="G28" s="467" t="s">
        <v>321</v>
      </c>
      <c r="H28" s="468" t="s">
        <v>322</v>
      </c>
      <c r="I28" s="450" t="s">
        <v>322</v>
      </c>
      <c r="J28" s="450" t="s">
        <v>322</v>
      </c>
      <c r="K28" s="469">
        <v>2</v>
      </c>
      <c r="L28" s="470" t="s">
        <v>322</v>
      </c>
      <c r="M28" s="509"/>
    </row>
    <row r="29" spans="1:13" ht="12.75">
      <c r="A29" s="466" t="s">
        <v>318</v>
      </c>
      <c r="B29" s="450" t="s">
        <v>323</v>
      </c>
      <c r="C29" s="458" t="s">
        <v>324</v>
      </c>
      <c r="D29" s="449">
        <v>37782</v>
      </c>
      <c r="E29" s="450" t="s">
        <v>322</v>
      </c>
      <c r="F29" s="467">
        <v>2.2</v>
      </c>
      <c r="G29" s="467" t="s">
        <v>321</v>
      </c>
      <c r="H29" s="468" t="s">
        <v>322</v>
      </c>
      <c r="I29" s="450" t="s">
        <v>322</v>
      </c>
      <c r="J29" s="450" t="s">
        <v>322</v>
      </c>
      <c r="K29" s="469">
        <v>2</v>
      </c>
      <c r="L29" s="470" t="s">
        <v>322</v>
      </c>
      <c r="M29" s="509"/>
    </row>
    <row r="30" spans="1:13" ht="12.75">
      <c r="A30" s="466" t="s">
        <v>318</v>
      </c>
      <c r="B30" s="450" t="s">
        <v>323</v>
      </c>
      <c r="C30" s="458" t="s">
        <v>324</v>
      </c>
      <c r="D30" s="449">
        <v>37874</v>
      </c>
      <c r="E30" s="450" t="s">
        <v>322</v>
      </c>
      <c r="F30" s="467">
        <v>1.6</v>
      </c>
      <c r="G30" s="467" t="s">
        <v>321</v>
      </c>
      <c r="H30" s="468" t="s">
        <v>322</v>
      </c>
      <c r="I30" s="450" t="s">
        <v>322</v>
      </c>
      <c r="J30" s="450" t="s">
        <v>322</v>
      </c>
      <c r="K30" s="469">
        <v>2</v>
      </c>
      <c r="L30" s="470" t="s">
        <v>322</v>
      </c>
      <c r="M30" s="509"/>
    </row>
    <row r="31" spans="1:13" ht="12.75">
      <c r="A31" s="466" t="s">
        <v>318</v>
      </c>
      <c r="B31" s="450" t="s">
        <v>323</v>
      </c>
      <c r="C31" s="458" t="s">
        <v>324</v>
      </c>
      <c r="D31" s="449">
        <v>37964</v>
      </c>
      <c r="E31" s="450" t="s">
        <v>322</v>
      </c>
      <c r="F31" s="467">
        <v>2.7</v>
      </c>
      <c r="G31" s="467" t="s">
        <v>321</v>
      </c>
      <c r="H31" s="468" t="s">
        <v>322</v>
      </c>
      <c r="I31" s="450" t="s">
        <v>322</v>
      </c>
      <c r="J31" s="450" t="s">
        <v>322</v>
      </c>
      <c r="K31" s="469">
        <v>2</v>
      </c>
      <c r="L31" s="470" t="s">
        <v>322</v>
      </c>
      <c r="M31" s="509"/>
    </row>
    <row r="32" spans="1:13" ht="12.75">
      <c r="A32" s="466" t="s">
        <v>318</v>
      </c>
      <c r="B32" s="450" t="s">
        <v>323</v>
      </c>
      <c r="C32" s="458" t="s">
        <v>324</v>
      </c>
      <c r="D32" s="449">
        <v>38055</v>
      </c>
      <c r="E32" s="450" t="s">
        <v>322</v>
      </c>
      <c r="F32" s="467">
        <v>3.5</v>
      </c>
      <c r="G32" s="467" t="s">
        <v>321</v>
      </c>
      <c r="H32" s="468" t="s">
        <v>322</v>
      </c>
      <c r="I32" s="450" t="s">
        <v>322</v>
      </c>
      <c r="J32" s="450" t="s">
        <v>322</v>
      </c>
      <c r="K32" s="469">
        <v>2</v>
      </c>
      <c r="L32" s="470" t="s">
        <v>322</v>
      </c>
      <c r="M32" s="509"/>
    </row>
    <row r="33" spans="1:13" ht="12.75">
      <c r="A33" s="466" t="s">
        <v>318</v>
      </c>
      <c r="B33" s="450" t="s">
        <v>323</v>
      </c>
      <c r="C33" s="458" t="s">
        <v>324</v>
      </c>
      <c r="D33" s="449">
        <v>38146</v>
      </c>
      <c r="E33" s="450" t="s">
        <v>322</v>
      </c>
      <c r="F33" s="467">
        <v>2.3</v>
      </c>
      <c r="G33" s="467" t="s">
        <v>321</v>
      </c>
      <c r="H33" s="468" t="s">
        <v>322</v>
      </c>
      <c r="I33" s="450" t="s">
        <v>322</v>
      </c>
      <c r="J33" s="450" t="s">
        <v>322</v>
      </c>
      <c r="K33" s="469">
        <v>2</v>
      </c>
      <c r="L33" s="470" t="s">
        <v>322</v>
      </c>
      <c r="M33" s="509"/>
    </row>
    <row r="34" spans="1:13" ht="12.75">
      <c r="A34" s="466" t="s">
        <v>318</v>
      </c>
      <c r="B34" s="450" t="s">
        <v>323</v>
      </c>
      <c r="C34" s="458" t="s">
        <v>324</v>
      </c>
      <c r="D34" s="449">
        <v>38239</v>
      </c>
      <c r="E34" s="450" t="s">
        <v>322</v>
      </c>
      <c r="F34" s="467">
        <v>1.6</v>
      </c>
      <c r="G34" s="467" t="s">
        <v>321</v>
      </c>
      <c r="H34" s="468" t="s">
        <v>322</v>
      </c>
      <c r="I34" s="450" t="s">
        <v>322</v>
      </c>
      <c r="J34" s="450" t="s">
        <v>322</v>
      </c>
      <c r="K34" s="469">
        <v>2</v>
      </c>
      <c r="L34" s="470" t="s">
        <v>322</v>
      </c>
      <c r="M34" s="509"/>
    </row>
    <row r="35" spans="1:13" ht="12.75">
      <c r="A35" s="466" t="s">
        <v>318</v>
      </c>
      <c r="B35" s="450" t="s">
        <v>323</v>
      </c>
      <c r="C35" s="458" t="s">
        <v>324</v>
      </c>
      <c r="D35" s="449">
        <v>38328</v>
      </c>
      <c r="E35" s="450" t="s">
        <v>322</v>
      </c>
      <c r="F35" s="467">
        <v>1.7</v>
      </c>
      <c r="G35" s="467" t="s">
        <v>321</v>
      </c>
      <c r="H35" s="468" t="s">
        <v>322</v>
      </c>
      <c r="I35" s="450" t="s">
        <v>322</v>
      </c>
      <c r="J35" s="450" t="s">
        <v>322</v>
      </c>
      <c r="K35" s="469">
        <v>2</v>
      </c>
      <c r="L35" s="470" t="s">
        <v>322</v>
      </c>
      <c r="M35" s="509"/>
    </row>
    <row r="36" spans="1:13" ht="12.75">
      <c r="A36" s="466" t="s">
        <v>318</v>
      </c>
      <c r="B36" s="450" t="s">
        <v>323</v>
      </c>
      <c r="C36" s="458" t="s">
        <v>324</v>
      </c>
      <c r="D36" s="449">
        <v>38419</v>
      </c>
      <c r="E36" s="450" t="s">
        <v>322</v>
      </c>
      <c r="F36" s="467">
        <v>4.1</v>
      </c>
      <c r="G36" s="467" t="s">
        <v>321</v>
      </c>
      <c r="H36" s="468" t="s">
        <v>322</v>
      </c>
      <c r="I36" s="450" t="s">
        <v>322</v>
      </c>
      <c r="J36" s="450" t="s">
        <v>322</v>
      </c>
      <c r="K36" s="469">
        <v>2</v>
      </c>
      <c r="L36" s="470" t="s">
        <v>322</v>
      </c>
      <c r="M36" s="509"/>
    </row>
    <row r="37" spans="1:13" ht="12.75">
      <c r="A37" s="466" t="s">
        <v>318</v>
      </c>
      <c r="B37" s="450" t="s">
        <v>323</v>
      </c>
      <c r="C37" s="458" t="s">
        <v>324</v>
      </c>
      <c r="D37" s="449">
        <v>38511</v>
      </c>
      <c r="E37" s="450" t="s">
        <v>322</v>
      </c>
      <c r="F37" s="467">
        <v>2.6</v>
      </c>
      <c r="G37" s="467" t="s">
        <v>321</v>
      </c>
      <c r="H37" s="468" t="s">
        <v>322</v>
      </c>
      <c r="I37" s="450" t="s">
        <v>322</v>
      </c>
      <c r="J37" s="450" t="s">
        <v>322</v>
      </c>
      <c r="K37" s="469">
        <v>2</v>
      </c>
      <c r="L37" s="470" t="s">
        <v>322</v>
      </c>
      <c r="M37" s="509"/>
    </row>
    <row r="38" spans="1:13" ht="12.75">
      <c r="A38" s="466" t="s">
        <v>318</v>
      </c>
      <c r="B38" s="450" t="s">
        <v>323</v>
      </c>
      <c r="C38" s="458" t="s">
        <v>324</v>
      </c>
      <c r="D38" s="449">
        <v>38602</v>
      </c>
      <c r="E38" s="450" t="s">
        <v>322</v>
      </c>
      <c r="F38" s="467">
        <v>1.7</v>
      </c>
      <c r="G38" s="467" t="s">
        <v>321</v>
      </c>
      <c r="H38" s="468" t="s">
        <v>322</v>
      </c>
      <c r="I38" s="450" t="s">
        <v>322</v>
      </c>
      <c r="J38" s="450" t="s">
        <v>322</v>
      </c>
      <c r="K38" s="469">
        <v>2</v>
      </c>
      <c r="L38" s="470" t="s">
        <v>322</v>
      </c>
      <c r="M38" s="509"/>
    </row>
    <row r="39" spans="1:13" ht="12.75">
      <c r="A39" s="466" t="s">
        <v>318</v>
      </c>
      <c r="B39" s="450" t="s">
        <v>323</v>
      </c>
      <c r="C39" s="458" t="s">
        <v>324</v>
      </c>
      <c r="D39" s="449">
        <v>38699</v>
      </c>
      <c r="E39" s="450" t="s">
        <v>322</v>
      </c>
      <c r="F39" s="467">
        <v>1.5</v>
      </c>
      <c r="G39" s="467" t="s">
        <v>321</v>
      </c>
      <c r="H39" s="468" t="s">
        <v>322</v>
      </c>
      <c r="I39" s="450" t="s">
        <v>322</v>
      </c>
      <c r="J39" s="450" t="s">
        <v>322</v>
      </c>
      <c r="K39" s="469">
        <v>2</v>
      </c>
      <c r="L39" s="470" t="s">
        <v>322</v>
      </c>
      <c r="M39" s="509"/>
    </row>
    <row r="40" spans="1:13" ht="12.75">
      <c r="A40" s="466" t="s">
        <v>318</v>
      </c>
      <c r="B40" s="450" t="s">
        <v>319</v>
      </c>
      <c r="C40" s="458" t="s">
        <v>189</v>
      </c>
      <c r="D40" s="452">
        <v>37500</v>
      </c>
      <c r="E40" s="450" t="s">
        <v>245</v>
      </c>
      <c r="F40" s="450">
        <v>0.06</v>
      </c>
      <c r="G40" s="467" t="s">
        <v>321</v>
      </c>
      <c r="H40" s="468">
        <v>0.1</v>
      </c>
      <c r="I40" s="450">
        <v>0.06</v>
      </c>
      <c r="J40" s="460"/>
      <c r="K40" s="469">
        <v>3</v>
      </c>
      <c r="L40" s="470" t="s">
        <v>322</v>
      </c>
      <c r="M40" s="509"/>
    </row>
    <row r="41" spans="1:13" ht="12.75">
      <c r="A41" s="466" t="s">
        <v>318</v>
      </c>
      <c r="B41" s="450" t="s">
        <v>319</v>
      </c>
      <c r="C41" s="458" t="s">
        <v>189</v>
      </c>
      <c r="D41" s="452">
        <v>37591</v>
      </c>
      <c r="E41" s="450" t="s">
        <v>245</v>
      </c>
      <c r="F41" s="450">
        <v>0.06</v>
      </c>
      <c r="G41" s="467" t="s">
        <v>321</v>
      </c>
      <c r="H41" s="468">
        <v>0.1</v>
      </c>
      <c r="I41" s="450">
        <v>0.06</v>
      </c>
      <c r="J41" s="460"/>
      <c r="K41" s="469">
        <v>3</v>
      </c>
      <c r="L41" s="470"/>
      <c r="M41" s="509"/>
    </row>
    <row r="42" spans="1:13" ht="12.75">
      <c r="A42" s="466" t="s">
        <v>318</v>
      </c>
      <c r="B42" s="450" t="s">
        <v>319</v>
      </c>
      <c r="C42" s="458" t="s">
        <v>189</v>
      </c>
      <c r="D42" s="452">
        <v>37681</v>
      </c>
      <c r="E42" s="450" t="s">
        <v>245</v>
      </c>
      <c r="F42" s="450">
        <v>0.06</v>
      </c>
      <c r="G42" s="467" t="s">
        <v>321</v>
      </c>
      <c r="H42" s="468">
        <v>0.1</v>
      </c>
      <c r="I42" s="450">
        <v>0.06</v>
      </c>
      <c r="J42" s="460"/>
      <c r="K42" s="469">
        <v>3</v>
      </c>
      <c r="L42" s="470"/>
      <c r="M42" s="509"/>
    </row>
    <row r="43" spans="1:13" ht="12.75">
      <c r="A43" s="466" t="s">
        <v>318</v>
      </c>
      <c r="B43" s="450" t="s">
        <v>319</v>
      </c>
      <c r="C43" s="458" t="s">
        <v>189</v>
      </c>
      <c r="D43" s="452">
        <v>37773</v>
      </c>
      <c r="E43" s="450" t="s">
        <v>245</v>
      </c>
      <c r="F43" s="450">
        <v>0.06</v>
      </c>
      <c r="G43" s="467" t="s">
        <v>321</v>
      </c>
      <c r="H43" s="468">
        <v>0.1</v>
      </c>
      <c r="I43" s="450">
        <v>0.06</v>
      </c>
      <c r="J43" s="460"/>
      <c r="K43" s="469">
        <v>3</v>
      </c>
      <c r="L43" s="470"/>
      <c r="M43" s="509"/>
    </row>
    <row r="44" spans="1:13" ht="12.75">
      <c r="A44" s="466" t="s">
        <v>318</v>
      </c>
      <c r="B44" s="450" t="s">
        <v>319</v>
      </c>
      <c r="C44" s="458" t="s">
        <v>189</v>
      </c>
      <c r="D44" s="452">
        <v>37865</v>
      </c>
      <c r="E44" s="450" t="s">
        <v>245</v>
      </c>
      <c r="F44" s="450">
        <v>0.06</v>
      </c>
      <c r="G44" s="467" t="s">
        <v>321</v>
      </c>
      <c r="H44" s="468">
        <v>0.1</v>
      </c>
      <c r="I44" s="450">
        <v>0.06</v>
      </c>
      <c r="J44" s="460"/>
      <c r="K44" s="469">
        <v>3</v>
      </c>
      <c r="L44" s="470"/>
      <c r="M44" s="509"/>
    </row>
    <row r="45" spans="1:13" ht="12.75">
      <c r="A45" s="466" t="s">
        <v>318</v>
      </c>
      <c r="B45" s="450" t="s">
        <v>319</v>
      </c>
      <c r="C45" s="458" t="s">
        <v>189</v>
      </c>
      <c r="D45" s="452">
        <v>37956</v>
      </c>
      <c r="E45" s="450" t="s">
        <v>245</v>
      </c>
      <c r="F45" s="450">
        <v>0.06</v>
      </c>
      <c r="G45" s="467" t="s">
        <v>321</v>
      </c>
      <c r="H45" s="468">
        <v>0.1</v>
      </c>
      <c r="I45" s="450">
        <v>0.06</v>
      </c>
      <c r="J45" s="460"/>
      <c r="K45" s="469">
        <v>3</v>
      </c>
      <c r="L45" s="470"/>
      <c r="M45" s="509"/>
    </row>
    <row r="46" spans="1:13" ht="12.75">
      <c r="A46" s="466" t="s">
        <v>318</v>
      </c>
      <c r="B46" s="450" t="s">
        <v>319</v>
      </c>
      <c r="C46" s="458" t="s">
        <v>189</v>
      </c>
      <c r="D46" s="452">
        <v>38047</v>
      </c>
      <c r="E46" s="450" t="s">
        <v>245</v>
      </c>
      <c r="F46" s="450">
        <v>0.06</v>
      </c>
      <c r="G46" s="467" t="s">
        <v>321</v>
      </c>
      <c r="H46" s="468">
        <v>0.1</v>
      </c>
      <c r="I46" s="450">
        <v>0.06</v>
      </c>
      <c r="J46" s="460"/>
      <c r="K46" s="469">
        <v>3</v>
      </c>
      <c r="L46" s="470"/>
      <c r="M46" s="509"/>
    </row>
    <row r="47" spans="1:13" ht="12.75">
      <c r="A47" s="466" t="s">
        <v>318</v>
      </c>
      <c r="B47" s="450" t="s">
        <v>319</v>
      </c>
      <c r="C47" s="458" t="s">
        <v>189</v>
      </c>
      <c r="D47" s="452">
        <v>38139</v>
      </c>
      <c r="E47" s="450" t="s">
        <v>245</v>
      </c>
      <c r="F47" s="450">
        <v>0.06</v>
      </c>
      <c r="G47" s="467" t="s">
        <v>321</v>
      </c>
      <c r="H47" s="468">
        <v>0.1</v>
      </c>
      <c r="I47" s="450">
        <v>0.06</v>
      </c>
      <c r="J47" s="460"/>
      <c r="K47" s="469">
        <v>3</v>
      </c>
      <c r="L47" s="470"/>
      <c r="M47" s="509"/>
    </row>
    <row r="48" spans="1:13" ht="12.75">
      <c r="A48" s="466" t="s">
        <v>318</v>
      </c>
      <c r="B48" s="450" t="s">
        <v>319</v>
      </c>
      <c r="C48" s="458" t="s">
        <v>189</v>
      </c>
      <c r="D48" s="452">
        <v>38231</v>
      </c>
      <c r="E48" s="450" t="s">
        <v>245</v>
      </c>
      <c r="F48" s="450">
        <v>0.06</v>
      </c>
      <c r="G48" s="467" t="s">
        <v>321</v>
      </c>
      <c r="H48" s="468">
        <v>0.1</v>
      </c>
      <c r="I48" s="450">
        <v>0.06</v>
      </c>
      <c r="J48" s="460"/>
      <c r="K48" s="469">
        <v>3</v>
      </c>
      <c r="L48" s="470"/>
      <c r="M48" s="509"/>
    </row>
    <row r="49" spans="1:13" ht="12.75">
      <c r="A49" s="466" t="s">
        <v>318</v>
      </c>
      <c r="B49" s="450" t="s">
        <v>319</v>
      </c>
      <c r="C49" s="458" t="s">
        <v>189</v>
      </c>
      <c r="D49" s="452">
        <v>38322</v>
      </c>
      <c r="E49" s="450" t="s">
        <v>245</v>
      </c>
      <c r="F49" s="450">
        <v>0.06</v>
      </c>
      <c r="G49" s="467" t="s">
        <v>321</v>
      </c>
      <c r="H49" s="468">
        <v>0.1</v>
      </c>
      <c r="I49" s="450">
        <v>0.06</v>
      </c>
      <c r="J49" s="460"/>
      <c r="K49" s="469">
        <v>3</v>
      </c>
      <c r="L49" s="470"/>
      <c r="M49" s="509"/>
    </row>
    <row r="50" spans="1:13" ht="12.75">
      <c r="A50" s="466" t="s">
        <v>318</v>
      </c>
      <c r="B50" s="450" t="s">
        <v>319</v>
      </c>
      <c r="C50" s="458" t="s">
        <v>189</v>
      </c>
      <c r="D50" s="452">
        <v>38412</v>
      </c>
      <c r="E50" s="450" t="s">
        <v>245</v>
      </c>
      <c r="F50" s="450">
        <v>0.06</v>
      </c>
      <c r="G50" s="467" t="s">
        <v>321</v>
      </c>
      <c r="H50" s="468">
        <v>0.1</v>
      </c>
      <c r="I50" s="450">
        <v>0.06</v>
      </c>
      <c r="J50" s="460"/>
      <c r="K50" s="469">
        <v>3</v>
      </c>
      <c r="L50" s="470"/>
      <c r="M50" s="509"/>
    </row>
    <row r="51" spans="1:13" ht="12.75">
      <c r="A51" s="466" t="s">
        <v>318</v>
      </c>
      <c r="B51" s="450" t="s">
        <v>319</v>
      </c>
      <c r="C51" s="458" t="s">
        <v>189</v>
      </c>
      <c r="D51" s="452">
        <v>38504</v>
      </c>
      <c r="E51" s="450" t="s">
        <v>245</v>
      </c>
      <c r="F51" s="450">
        <v>0.06</v>
      </c>
      <c r="G51" s="467" t="s">
        <v>321</v>
      </c>
      <c r="H51" s="468">
        <v>0.1</v>
      </c>
      <c r="I51" s="450">
        <v>0.06</v>
      </c>
      <c r="J51" s="460"/>
      <c r="K51" s="469">
        <v>3</v>
      </c>
      <c r="L51" s="470"/>
      <c r="M51" s="509"/>
    </row>
    <row r="52" spans="1:13" ht="12.75">
      <c r="A52" s="466" t="s">
        <v>318</v>
      </c>
      <c r="B52" s="450" t="s">
        <v>319</v>
      </c>
      <c r="C52" s="458" t="s">
        <v>189</v>
      </c>
      <c r="D52" s="452">
        <v>38596</v>
      </c>
      <c r="E52" s="450" t="s">
        <v>245</v>
      </c>
      <c r="F52" s="450">
        <v>0.06</v>
      </c>
      <c r="G52" s="467" t="s">
        <v>321</v>
      </c>
      <c r="H52" s="468">
        <v>0.1</v>
      </c>
      <c r="I52" s="450">
        <v>0.06</v>
      </c>
      <c r="J52" s="460"/>
      <c r="K52" s="469">
        <v>3</v>
      </c>
      <c r="L52" s="470"/>
      <c r="M52" s="509"/>
    </row>
    <row r="53" spans="1:13" ht="12.75">
      <c r="A53" s="466" t="s">
        <v>318</v>
      </c>
      <c r="B53" s="450" t="s">
        <v>319</v>
      </c>
      <c r="C53" s="458" t="s">
        <v>189</v>
      </c>
      <c r="D53" s="452">
        <v>38687</v>
      </c>
      <c r="E53" s="450" t="s">
        <v>245</v>
      </c>
      <c r="F53" s="450">
        <v>0.06</v>
      </c>
      <c r="G53" s="467" t="s">
        <v>321</v>
      </c>
      <c r="H53" s="468">
        <v>0.1</v>
      </c>
      <c r="I53" s="450">
        <v>0.06</v>
      </c>
      <c r="J53" s="460"/>
      <c r="K53" s="469">
        <v>3</v>
      </c>
      <c r="L53" s="470"/>
      <c r="M53" s="509"/>
    </row>
    <row r="54" spans="1:13" ht="12.75">
      <c r="A54" s="466" t="s">
        <v>318</v>
      </c>
      <c r="B54" s="450" t="s">
        <v>323</v>
      </c>
      <c r="C54" s="458" t="s">
        <v>325</v>
      </c>
      <c r="D54" s="449">
        <v>36591</v>
      </c>
      <c r="E54" s="450" t="s">
        <v>245</v>
      </c>
      <c r="F54" s="467">
        <v>0.2</v>
      </c>
      <c r="G54" s="467" t="s">
        <v>321</v>
      </c>
      <c r="H54" s="468" t="s">
        <v>322</v>
      </c>
      <c r="I54" s="450" t="s">
        <v>322</v>
      </c>
      <c r="J54" s="450"/>
      <c r="K54" s="469">
        <v>4</v>
      </c>
      <c r="L54" s="470" t="s">
        <v>322</v>
      </c>
      <c r="M54" s="509"/>
    </row>
    <row r="55" spans="1:13" ht="12.75">
      <c r="A55" s="466" t="s">
        <v>318</v>
      </c>
      <c r="B55" s="450" t="s">
        <v>323</v>
      </c>
      <c r="C55" s="458" t="s">
        <v>325</v>
      </c>
      <c r="D55" s="449">
        <v>36682</v>
      </c>
      <c r="E55" s="450" t="s">
        <v>245</v>
      </c>
      <c r="F55" s="467">
        <v>0.2</v>
      </c>
      <c r="G55" s="467" t="s">
        <v>321</v>
      </c>
      <c r="H55" s="468" t="s">
        <v>322</v>
      </c>
      <c r="I55" s="450" t="s">
        <v>322</v>
      </c>
      <c r="J55" s="450"/>
      <c r="K55" s="469">
        <v>4</v>
      </c>
      <c r="L55" s="470" t="s">
        <v>322</v>
      </c>
      <c r="M55" s="509"/>
    </row>
    <row r="56" spans="1:13" ht="12.75">
      <c r="A56" s="466" t="s">
        <v>318</v>
      </c>
      <c r="B56" s="450" t="s">
        <v>323</v>
      </c>
      <c r="C56" s="458" t="s">
        <v>325</v>
      </c>
      <c r="D56" s="449">
        <v>36775</v>
      </c>
      <c r="E56" s="450" t="s">
        <v>245</v>
      </c>
      <c r="F56" s="467">
        <v>0.2</v>
      </c>
      <c r="G56" s="467" t="s">
        <v>321</v>
      </c>
      <c r="H56" s="468" t="s">
        <v>322</v>
      </c>
      <c r="I56" s="450" t="s">
        <v>322</v>
      </c>
      <c r="J56" s="450" t="s">
        <v>322</v>
      </c>
      <c r="K56" s="469">
        <v>4</v>
      </c>
      <c r="L56" s="470" t="s">
        <v>322</v>
      </c>
      <c r="M56" s="509"/>
    </row>
    <row r="57" spans="1:13" ht="12.75">
      <c r="A57" s="466" t="s">
        <v>318</v>
      </c>
      <c r="B57" s="450" t="s">
        <v>323</v>
      </c>
      <c r="C57" s="458" t="s">
        <v>325</v>
      </c>
      <c r="D57" s="449">
        <v>36865</v>
      </c>
      <c r="E57" s="450" t="s">
        <v>245</v>
      </c>
      <c r="F57" s="467">
        <v>0.2</v>
      </c>
      <c r="G57" s="467" t="s">
        <v>321</v>
      </c>
      <c r="H57" s="468" t="s">
        <v>322</v>
      </c>
      <c r="I57" s="450" t="s">
        <v>322</v>
      </c>
      <c r="J57" s="450" t="s">
        <v>322</v>
      </c>
      <c r="K57" s="469">
        <v>4</v>
      </c>
      <c r="L57" s="470" t="s">
        <v>322</v>
      </c>
      <c r="M57" s="509"/>
    </row>
    <row r="58" spans="1:13" ht="12.75">
      <c r="A58" s="466" t="s">
        <v>318</v>
      </c>
      <c r="B58" s="450" t="s">
        <v>323</v>
      </c>
      <c r="C58" s="458" t="s">
        <v>325</v>
      </c>
      <c r="D58" s="449">
        <v>36957</v>
      </c>
      <c r="E58" s="450" t="s">
        <v>245</v>
      </c>
      <c r="F58" s="467">
        <v>0.2</v>
      </c>
      <c r="G58" s="467" t="s">
        <v>321</v>
      </c>
      <c r="H58" s="468" t="s">
        <v>322</v>
      </c>
      <c r="I58" s="450" t="s">
        <v>322</v>
      </c>
      <c r="J58" s="450" t="s">
        <v>322</v>
      </c>
      <c r="K58" s="469">
        <v>4</v>
      </c>
      <c r="L58" s="470" t="s">
        <v>322</v>
      </c>
      <c r="M58" s="509"/>
    </row>
    <row r="59" spans="1:13" ht="12.75">
      <c r="A59" s="466" t="s">
        <v>318</v>
      </c>
      <c r="B59" s="450" t="s">
        <v>323</v>
      </c>
      <c r="C59" s="458" t="s">
        <v>325</v>
      </c>
      <c r="D59" s="449">
        <v>37050</v>
      </c>
      <c r="E59" s="450" t="s">
        <v>245</v>
      </c>
      <c r="F59" s="467">
        <v>0.1</v>
      </c>
      <c r="G59" s="467" t="s">
        <v>321</v>
      </c>
      <c r="H59" s="468" t="s">
        <v>322</v>
      </c>
      <c r="I59" s="450" t="s">
        <v>322</v>
      </c>
      <c r="J59" s="450" t="s">
        <v>322</v>
      </c>
      <c r="K59" s="469">
        <v>4</v>
      </c>
      <c r="L59" s="470" t="s">
        <v>322</v>
      </c>
      <c r="M59" s="509"/>
    </row>
    <row r="60" spans="1:13" ht="12.75">
      <c r="A60" s="466" t="s">
        <v>318</v>
      </c>
      <c r="B60" s="450" t="s">
        <v>323</v>
      </c>
      <c r="C60" s="458" t="s">
        <v>325</v>
      </c>
      <c r="D60" s="449">
        <v>37139</v>
      </c>
      <c r="E60" s="450" t="s">
        <v>245</v>
      </c>
      <c r="F60" s="467">
        <v>0.1</v>
      </c>
      <c r="G60" s="467" t="s">
        <v>321</v>
      </c>
      <c r="H60" s="468" t="s">
        <v>322</v>
      </c>
      <c r="I60" s="450" t="s">
        <v>322</v>
      </c>
      <c r="J60" s="450" t="s">
        <v>322</v>
      </c>
      <c r="K60" s="469">
        <v>4</v>
      </c>
      <c r="L60" s="470" t="s">
        <v>322</v>
      </c>
      <c r="M60" s="509"/>
    </row>
    <row r="61" spans="1:13" ht="12.75">
      <c r="A61" s="466" t="s">
        <v>318</v>
      </c>
      <c r="B61" s="450" t="s">
        <v>323</v>
      </c>
      <c r="C61" s="458" t="s">
        <v>325</v>
      </c>
      <c r="D61" s="449">
        <v>37231</v>
      </c>
      <c r="E61" s="450" t="s">
        <v>245</v>
      </c>
      <c r="F61" s="467">
        <v>0.1</v>
      </c>
      <c r="G61" s="467" t="s">
        <v>321</v>
      </c>
      <c r="H61" s="468" t="s">
        <v>322</v>
      </c>
      <c r="I61" s="450" t="s">
        <v>322</v>
      </c>
      <c r="J61" s="450" t="s">
        <v>322</v>
      </c>
      <c r="K61" s="469">
        <v>4</v>
      </c>
      <c r="L61" s="470" t="s">
        <v>322</v>
      </c>
      <c r="M61" s="509"/>
    </row>
    <row r="62" spans="1:13" ht="12.75">
      <c r="A62" s="466" t="s">
        <v>318</v>
      </c>
      <c r="B62" s="450" t="s">
        <v>323</v>
      </c>
      <c r="C62" s="458" t="s">
        <v>325</v>
      </c>
      <c r="D62" s="449">
        <v>37336</v>
      </c>
      <c r="E62" s="450" t="s">
        <v>245</v>
      </c>
      <c r="F62" s="467">
        <v>0.1</v>
      </c>
      <c r="G62" s="467" t="s">
        <v>321</v>
      </c>
      <c r="H62" s="468" t="s">
        <v>322</v>
      </c>
      <c r="I62" s="450" t="s">
        <v>322</v>
      </c>
      <c r="J62" s="450" t="s">
        <v>322</v>
      </c>
      <c r="K62" s="469">
        <v>4</v>
      </c>
      <c r="L62" s="470" t="s">
        <v>322</v>
      </c>
      <c r="M62" s="509"/>
    </row>
    <row r="63" spans="1:13" ht="12.75">
      <c r="A63" s="466" t="s">
        <v>318</v>
      </c>
      <c r="B63" s="450" t="s">
        <v>323</v>
      </c>
      <c r="C63" s="458" t="s">
        <v>325</v>
      </c>
      <c r="D63" s="449">
        <v>37428</v>
      </c>
      <c r="E63" s="450" t="s">
        <v>245</v>
      </c>
      <c r="F63" s="467">
        <v>0.1</v>
      </c>
      <c r="G63" s="467" t="s">
        <v>321</v>
      </c>
      <c r="H63" s="468" t="s">
        <v>322</v>
      </c>
      <c r="I63" s="450" t="s">
        <v>322</v>
      </c>
      <c r="J63" s="450" t="s">
        <v>322</v>
      </c>
      <c r="K63" s="469">
        <v>4</v>
      </c>
      <c r="L63" s="470" t="s">
        <v>322</v>
      </c>
      <c r="M63" s="509"/>
    </row>
    <row r="64" spans="1:13" ht="12.75">
      <c r="A64" s="466" t="s">
        <v>318</v>
      </c>
      <c r="B64" s="450" t="s">
        <v>323</v>
      </c>
      <c r="C64" s="458" t="s">
        <v>325</v>
      </c>
      <c r="D64" s="449">
        <v>37518</v>
      </c>
      <c r="E64" s="450" t="s">
        <v>245</v>
      </c>
      <c r="F64" s="467">
        <v>0.1</v>
      </c>
      <c r="G64" s="467" t="s">
        <v>321</v>
      </c>
      <c r="H64" s="468" t="s">
        <v>322</v>
      </c>
      <c r="I64" s="450" t="s">
        <v>322</v>
      </c>
      <c r="J64" s="450" t="s">
        <v>322</v>
      </c>
      <c r="K64" s="469">
        <v>4</v>
      </c>
      <c r="L64" s="470" t="s">
        <v>322</v>
      </c>
      <c r="M64" s="509"/>
    </row>
    <row r="65" spans="1:13" ht="12.75">
      <c r="A65" s="466" t="s">
        <v>318</v>
      </c>
      <c r="B65" s="450" t="s">
        <v>323</v>
      </c>
      <c r="C65" s="458" t="s">
        <v>325</v>
      </c>
      <c r="D65" s="449">
        <v>37610</v>
      </c>
      <c r="E65" s="450" t="s">
        <v>245</v>
      </c>
      <c r="F65" s="467">
        <v>0.1</v>
      </c>
      <c r="G65" s="467" t="s">
        <v>321</v>
      </c>
      <c r="H65" s="468" t="s">
        <v>322</v>
      </c>
      <c r="I65" s="450" t="s">
        <v>322</v>
      </c>
      <c r="J65" s="450" t="s">
        <v>322</v>
      </c>
      <c r="K65" s="469">
        <v>4</v>
      </c>
      <c r="L65" s="470" t="s">
        <v>322</v>
      </c>
      <c r="M65" s="509"/>
    </row>
    <row r="66" spans="1:13" ht="12.75">
      <c r="A66" s="466" t="s">
        <v>318</v>
      </c>
      <c r="B66" s="450" t="s">
        <v>323</v>
      </c>
      <c r="C66" s="458" t="s">
        <v>325</v>
      </c>
      <c r="D66" s="449">
        <v>37701</v>
      </c>
      <c r="E66" s="450" t="s">
        <v>245</v>
      </c>
      <c r="F66" s="467">
        <v>0.1</v>
      </c>
      <c r="G66" s="467" t="s">
        <v>321</v>
      </c>
      <c r="H66" s="468" t="s">
        <v>322</v>
      </c>
      <c r="I66" s="450" t="s">
        <v>322</v>
      </c>
      <c r="J66" s="450" t="s">
        <v>322</v>
      </c>
      <c r="K66" s="469">
        <v>4</v>
      </c>
      <c r="L66" s="470" t="s">
        <v>322</v>
      </c>
      <c r="M66" s="509"/>
    </row>
    <row r="67" spans="1:13" ht="12.75">
      <c r="A67" s="466" t="s">
        <v>318</v>
      </c>
      <c r="B67" s="450" t="s">
        <v>323</v>
      </c>
      <c r="C67" s="458" t="s">
        <v>325</v>
      </c>
      <c r="D67" s="449">
        <v>37782</v>
      </c>
      <c r="E67" s="450" t="s">
        <v>245</v>
      </c>
      <c r="F67" s="467">
        <v>0.1</v>
      </c>
      <c r="G67" s="467" t="s">
        <v>321</v>
      </c>
      <c r="H67" s="468" t="s">
        <v>322</v>
      </c>
      <c r="I67" s="450" t="s">
        <v>322</v>
      </c>
      <c r="J67" s="450" t="s">
        <v>322</v>
      </c>
      <c r="K67" s="469">
        <v>4</v>
      </c>
      <c r="L67" s="470" t="s">
        <v>322</v>
      </c>
      <c r="M67" s="509"/>
    </row>
    <row r="68" spans="1:13" ht="12.75">
      <c r="A68" s="466" t="s">
        <v>318</v>
      </c>
      <c r="B68" s="450" t="s">
        <v>323</v>
      </c>
      <c r="C68" s="458" t="s">
        <v>325</v>
      </c>
      <c r="D68" s="449">
        <v>37874</v>
      </c>
      <c r="E68" s="450" t="s">
        <v>245</v>
      </c>
      <c r="F68" s="467">
        <v>0.1</v>
      </c>
      <c r="G68" s="467" t="s">
        <v>321</v>
      </c>
      <c r="H68" s="468" t="s">
        <v>322</v>
      </c>
      <c r="I68" s="450" t="s">
        <v>322</v>
      </c>
      <c r="J68" s="450" t="s">
        <v>322</v>
      </c>
      <c r="K68" s="469">
        <v>4</v>
      </c>
      <c r="L68" s="470" t="s">
        <v>322</v>
      </c>
      <c r="M68" s="509"/>
    </row>
    <row r="69" spans="1:13" ht="12.75">
      <c r="A69" s="466" t="s">
        <v>318</v>
      </c>
      <c r="B69" s="450" t="s">
        <v>323</v>
      </c>
      <c r="C69" s="458" t="s">
        <v>325</v>
      </c>
      <c r="D69" s="449">
        <v>37964</v>
      </c>
      <c r="E69" s="450" t="s">
        <v>245</v>
      </c>
      <c r="F69" s="467">
        <v>0.1</v>
      </c>
      <c r="G69" s="467" t="s">
        <v>321</v>
      </c>
      <c r="H69" s="468" t="s">
        <v>322</v>
      </c>
      <c r="I69" s="450" t="s">
        <v>322</v>
      </c>
      <c r="J69" s="450" t="s">
        <v>322</v>
      </c>
      <c r="K69" s="469">
        <v>4</v>
      </c>
      <c r="L69" s="470" t="s">
        <v>322</v>
      </c>
      <c r="M69" s="509"/>
    </row>
    <row r="70" spans="1:13" ht="12.75">
      <c r="A70" s="466" t="s">
        <v>318</v>
      </c>
      <c r="B70" s="450" t="s">
        <v>323</v>
      </c>
      <c r="C70" s="458" t="s">
        <v>325</v>
      </c>
      <c r="D70" s="449">
        <v>38055</v>
      </c>
      <c r="E70" s="450" t="s">
        <v>245</v>
      </c>
      <c r="F70" s="467">
        <v>0.1</v>
      </c>
      <c r="G70" s="467" t="s">
        <v>321</v>
      </c>
      <c r="H70" s="468" t="s">
        <v>322</v>
      </c>
      <c r="I70" s="450" t="s">
        <v>322</v>
      </c>
      <c r="J70" s="450" t="s">
        <v>322</v>
      </c>
      <c r="K70" s="469">
        <v>4</v>
      </c>
      <c r="L70" s="470" t="s">
        <v>322</v>
      </c>
      <c r="M70" s="509"/>
    </row>
    <row r="71" spans="1:13" ht="12.75">
      <c r="A71" s="466" t="s">
        <v>318</v>
      </c>
      <c r="B71" s="450" t="s">
        <v>323</v>
      </c>
      <c r="C71" s="458" t="s">
        <v>325</v>
      </c>
      <c r="D71" s="449">
        <v>38146</v>
      </c>
      <c r="E71" s="450" t="s">
        <v>245</v>
      </c>
      <c r="F71" s="467">
        <v>0.1</v>
      </c>
      <c r="G71" s="467" t="s">
        <v>321</v>
      </c>
      <c r="H71" s="468" t="s">
        <v>322</v>
      </c>
      <c r="I71" s="450" t="s">
        <v>322</v>
      </c>
      <c r="J71" s="450" t="s">
        <v>322</v>
      </c>
      <c r="K71" s="469">
        <v>4</v>
      </c>
      <c r="L71" s="470" t="s">
        <v>322</v>
      </c>
      <c r="M71" s="509"/>
    </row>
    <row r="72" spans="1:13" ht="12.75">
      <c r="A72" s="466" t="s">
        <v>318</v>
      </c>
      <c r="B72" s="450" t="s">
        <v>323</v>
      </c>
      <c r="C72" s="458" t="s">
        <v>325</v>
      </c>
      <c r="D72" s="449">
        <v>38239</v>
      </c>
      <c r="E72" s="450" t="s">
        <v>245</v>
      </c>
      <c r="F72" s="467">
        <v>0.1</v>
      </c>
      <c r="G72" s="467" t="s">
        <v>321</v>
      </c>
      <c r="H72" s="468" t="s">
        <v>322</v>
      </c>
      <c r="I72" s="450" t="s">
        <v>322</v>
      </c>
      <c r="J72" s="450" t="s">
        <v>322</v>
      </c>
      <c r="K72" s="469">
        <v>4</v>
      </c>
      <c r="L72" s="470" t="s">
        <v>322</v>
      </c>
      <c r="M72" s="509"/>
    </row>
    <row r="73" spans="1:13" ht="12.75">
      <c r="A73" s="466" t="s">
        <v>318</v>
      </c>
      <c r="B73" s="450" t="s">
        <v>323</v>
      </c>
      <c r="C73" s="458" t="s">
        <v>325</v>
      </c>
      <c r="D73" s="449">
        <v>38328</v>
      </c>
      <c r="E73" s="450" t="s">
        <v>245</v>
      </c>
      <c r="F73" s="467">
        <v>0.1</v>
      </c>
      <c r="G73" s="467" t="s">
        <v>321</v>
      </c>
      <c r="H73" s="468" t="s">
        <v>322</v>
      </c>
      <c r="I73" s="450" t="s">
        <v>322</v>
      </c>
      <c r="J73" s="450" t="s">
        <v>322</v>
      </c>
      <c r="K73" s="469">
        <v>4</v>
      </c>
      <c r="L73" s="470" t="s">
        <v>322</v>
      </c>
      <c r="M73" s="509"/>
    </row>
    <row r="74" spans="1:13" ht="12.75">
      <c r="A74" s="466" t="s">
        <v>318</v>
      </c>
      <c r="B74" s="450" t="s">
        <v>323</v>
      </c>
      <c r="C74" s="458" t="s">
        <v>325</v>
      </c>
      <c r="D74" s="449">
        <v>38419</v>
      </c>
      <c r="E74" s="450" t="s">
        <v>245</v>
      </c>
      <c r="F74" s="467">
        <v>0.1</v>
      </c>
      <c r="G74" s="467" t="s">
        <v>321</v>
      </c>
      <c r="H74" s="468" t="s">
        <v>322</v>
      </c>
      <c r="I74" s="450" t="s">
        <v>322</v>
      </c>
      <c r="J74" s="450" t="s">
        <v>322</v>
      </c>
      <c r="K74" s="469">
        <v>4</v>
      </c>
      <c r="L74" s="470" t="s">
        <v>322</v>
      </c>
      <c r="M74" s="509"/>
    </row>
    <row r="75" spans="1:13" ht="12.75">
      <c r="A75" s="466" t="s">
        <v>318</v>
      </c>
      <c r="B75" s="450" t="s">
        <v>323</v>
      </c>
      <c r="C75" s="458" t="s">
        <v>325</v>
      </c>
      <c r="D75" s="449">
        <v>38511</v>
      </c>
      <c r="E75" s="450" t="s">
        <v>245</v>
      </c>
      <c r="F75" s="467">
        <v>0.1</v>
      </c>
      <c r="G75" s="467" t="s">
        <v>321</v>
      </c>
      <c r="H75" s="468" t="s">
        <v>322</v>
      </c>
      <c r="I75" s="450" t="s">
        <v>322</v>
      </c>
      <c r="J75" s="450" t="s">
        <v>322</v>
      </c>
      <c r="K75" s="469">
        <v>4</v>
      </c>
      <c r="L75" s="470" t="s">
        <v>322</v>
      </c>
      <c r="M75" s="509"/>
    </row>
    <row r="76" spans="1:13" ht="12.75">
      <c r="A76" s="466" t="s">
        <v>318</v>
      </c>
      <c r="B76" s="450" t="s">
        <v>323</v>
      </c>
      <c r="C76" s="458" t="s">
        <v>325</v>
      </c>
      <c r="D76" s="449">
        <v>38602</v>
      </c>
      <c r="E76" s="450" t="s">
        <v>245</v>
      </c>
      <c r="F76" s="467">
        <v>0.1</v>
      </c>
      <c r="G76" s="467" t="s">
        <v>321</v>
      </c>
      <c r="H76" s="468" t="s">
        <v>322</v>
      </c>
      <c r="I76" s="450" t="s">
        <v>322</v>
      </c>
      <c r="J76" s="450" t="s">
        <v>322</v>
      </c>
      <c r="K76" s="469">
        <v>4</v>
      </c>
      <c r="L76" s="470" t="s">
        <v>322</v>
      </c>
      <c r="M76" s="509"/>
    </row>
    <row r="77" spans="1:13" ht="12.75">
      <c r="A77" s="466" t="s">
        <v>318</v>
      </c>
      <c r="B77" s="450" t="s">
        <v>323</v>
      </c>
      <c r="C77" s="458" t="s">
        <v>325</v>
      </c>
      <c r="D77" s="449">
        <v>38699</v>
      </c>
      <c r="E77" s="450" t="s">
        <v>245</v>
      </c>
      <c r="F77" s="467">
        <v>0.1</v>
      </c>
      <c r="G77" s="467" t="s">
        <v>321</v>
      </c>
      <c r="H77" s="468" t="s">
        <v>322</v>
      </c>
      <c r="I77" s="450" t="s">
        <v>322</v>
      </c>
      <c r="J77" s="450" t="s">
        <v>322</v>
      </c>
      <c r="K77" s="469">
        <v>4</v>
      </c>
      <c r="L77" s="470" t="s">
        <v>322</v>
      </c>
      <c r="M77" s="509"/>
    </row>
    <row r="78" spans="1:13" ht="12.75">
      <c r="A78" s="466" t="s">
        <v>318</v>
      </c>
      <c r="B78" s="450" t="s">
        <v>323</v>
      </c>
      <c r="C78" s="458" t="s">
        <v>326</v>
      </c>
      <c r="D78" s="449">
        <v>36957</v>
      </c>
      <c r="E78" s="450" t="s">
        <v>245</v>
      </c>
      <c r="F78" s="467">
        <v>1</v>
      </c>
      <c r="G78" s="467" t="s">
        <v>321</v>
      </c>
      <c r="H78" s="468" t="s">
        <v>322</v>
      </c>
      <c r="I78" s="450" t="s">
        <v>322</v>
      </c>
      <c r="J78" s="450" t="s">
        <v>322</v>
      </c>
      <c r="K78" s="469">
        <v>5.2</v>
      </c>
      <c r="L78" s="470" t="s">
        <v>322</v>
      </c>
      <c r="M78" s="509"/>
    </row>
    <row r="79" spans="1:13" ht="12.75">
      <c r="A79" s="466" t="s">
        <v>318</v>
      </c>
      <c r="B79" s="450" t="s">
        <v>323</v>
      </c>
      <c r="C79" s="458" t="s">
        <v>326</v>
      </c>
      <c r="D79" s="449">
        <v>37050</v>
      </c>
      <c r="E79" s="450" t="s">
        <v>322</v>
      </c>
      <c r="F79" s="467">
        <v>0.6</v>
      </c>
      <c r="G79" s="467" t="s">
        <v>321</v>
      </c>
      <c r="H79" s="468" t="s">
        <v>322</v>
      </c>
      <c r="I79" s="450" t="s">
        <v>322</v>
      </c>
      <c r="J79" s="450" t="s">
        <v>322</v>
      </c>
      <c r="K79" s="469">
        <v>5.2</v>
      </c>
      <c r="L79" s="470" t="s">
        <v>322</v>
      </c>
      <c r="M79" s="509"/>
    </row>
    <row r="80" spans="1:13" ht="12.75">
      <c r="A80" s="466" t="s">
        <v>318</v>
      </c>
      <c r="B80" s="450" t="s">
        <v>323</v>
      </c>
      <c r="C80" s="458" t="s">
        <v>326</v>
      </c>
      <c r="D80" s="449">
        <v>37139</v>
      </c>
      <c r="E80" s="450" t="s">
        <v>245</v>
      </c>
      <c r="F80" s="467">
        <v>1</v>
      </c>
      <c r="G80" s="467" t="s">
        <v>321</v>
      </c>
      <c r="H80" s="468" t="s">
        <v>322</v>
      </c>
      <c r="I80" s="450" t="s">
        <v>322</v>
      </c>
      <c r="J80" s="450" t="s">
        <v>322</v>
      </c>
      <c r="K80" s="469">
        <v>5.2</v>
      </c>
      <c r="L80" s="470" t="s">
        <v>322</v>
      </c>
      <c r="M80" s="509"/>
    </row>
    <row r="81" spans="1:13" ht="12.75">
      <c r="A81" s="466" t="s">
        <v>318</v>
      </c>
      <c r="B81" s="450" t="s">
        <v>323</v>
      </c>
      <c r="C81" s="458" t="s">
        <v>326</v>
      </c>
      <c r="D81" s="449">
        <v>37231</v>
      </c>
      <c r="E81" s="450" t="s">
        <v>245</v>
      </c>
      <c r="F81" s="467">
        <v>0.5</v>
      </c>
      <c r="G81" s="467" t="s">
        <v>321</v>
      </c>
      <c r="H81" s="468" t="s">
        <v>322</v>
      </c>
      <c r="I81" s="450" t="s">
        <v>322</v>
      </c>
      <c r="J81" s="450" t="s">
        <v>322</v>
      </c>
      <c r="K81" s="469">
        <v>5.2</v>
      </c>
      <c r="L81" s="470" t="s">
        <v>322</v>
      </c>
      <c r="M81" s="509"/>
    </row>
    <row r="82" spans="1:13" ht="12.75">
      <c r="A82" s="466" t="s">
        <v>318</v>
      </c>
      <c r="B82" s="450" t="s">
        <v>323</v>
      </c>
      <c r="C82" s="458" t="s">
        <v>326</v>
      </c>
      <c r="D82" s="449">
        <v>37336</v>
      </c>
      <c r="E82" s="450" t="s">
        <v>245</v>
      </c>
      <c r="F82" s="467">
        <v>0.5</v>
      </c>
      <c r="G82" s="467" t="s">
        <v>321</v>
      </c>
      <c r="H82" s="468" t="s">
        <v>322</v>
      </c>
      <c r="I82" s="450" t="s">
        <v>322</v>
      </c>
      <c r="J82" s="450" t="s">
        <v>322</v>
      </c>
      <c r="K82" s="469">
        <v>5.2</v>
      </c>
      <c r="L82" s="470" t="s">
        <v>322</v>
      </c>
      <c r="M82" s="509"/>
    </row>
    <row r="83" spans="1:13" ht="12.75">
      <c r="A83" s="466" t="s">
        <v>318</v>
      </c>
      <c r="B83" s="450" t="s">
        <v>323</v>
      </c>
      <c r="C83" s="458" t="s">
        <v>326</v>
      </c>
      <c r="D83" s="449">
        <v>37519</v>
      </c>
      <c r="E83" s="450" t="s">
        <v>245</v>
      </c>
      <c r="F83" s="467">
        <v>0.5</v>
      </c>
      <c r="G83" s="467" t="s">
        <v>321</v>
      </c>
      <c r="H83" s="468" t="s">
        <v>322</v>
      </c>
      <c r="I83" s="450" t="s">
        <v>322</v>
      </c>
      <c r="J83" s="450" t="s">
        <v>322</v>
      </c>
      <c r="K83" s="469">
        <v>5.2</v>
      </c>
      <c r="L83" s="470" t="s">
        <v>322</v>
      </c>
      <c r="M83" s="509"/>
    </row>
    <row r="84" spans="1:13" ht="12.75">
      <c r="A84" s="466" t="s">
        <v>318</v>
      </c>
      <c r="B84" s="450" t="s">
        <v>323</v>
      </c>
      <c r="C84" s="458" t="s">
        <v>326</v>
      </c>
      <c r="D84" s="449">
        <v>37610</v>
      </c>
      <c r="E84" s="450" t="s">
        <v>322</v>
      </c>
      <c r="F84" s="467">
        <v>1.2</v>
      </c>
      <c r="G84" s="467" t="s">
        <v>321</v>
      </c>
      <c r="H84" s="468" t="s">
        <v>322</v>
      </c>
      <c r="I84" s="450" t="s">
        <v>322</v>
      </c>
      <c r="J84" s="450" t="s">
        <v>322</v>
      </c>
      <c r="K84" s="469">
        <v>5.2</v>
      </c>
      <c r="L84" s="470" t="s">
        <v>322</v>
      </c>
      <c r="M84" s="509"/>
    </row>
    <row r="85" spans="1:13" ht="12.75">
      <c r="A85" s="466" t="s">
        <v>318</v>
      </c>
      <c r="B85" s="450" t="s">
        <v>323</v>
      </c>
      <c r="C85" s="458" t="s">
        <v>326</v>
      </c>
      <c r="D85" s="449">
        <v>37701</v>
      </c>
      <c r="E85" s="450" t="s">
        <v>322</v>
      </c>
      <c r="F85" s="467">
        <v>0.6</v>
      </c>
      <c r="G85" s="467" t="s">
        <v>321</v>
      </c>
      <c r="H85" s="468" t="s">
        <v>322</v>
      </c>
      <c r="I85" s="450" t="s">
        <v>322</v>
      </c>
      <c r="J85" s="450" t="s">
        <v>322</v>
      </c>
      <c r="K85" s="469">
        <v>5.2</v>
      </c>
      <c r="L85" s="470" t="s">
        <v>322</v>
      </c>
      <c r="M85" s="509"/>
    </row>
    <row r="86" spans="1:13" ht="12.75">
      <c r="A86" s="466" t="s">
        <v>318</v>
      </c>
      <c r="B86" s="450" t="s">
        <v>323</v>
      </c>
      <c r="C86" s="458" t="s">
        <v>326</v>
      </c>
      <c r="D86" s="449">
        <v>37782</v>
      </c>
      <c r="E86" s="450" t="s">
        <v>322</v>
      </c>
      <c r="F86" s="467">
        <v>0.5</v>
      </c>
      <c r="G86" s="467" t="s">
        <v>321</v>
      </c>
      <c r="H86" s="468" t="s">
        <v>322</v>
      </c>
      <c r="I86" s="450" t="s">
        <v>322</v>
      </c>
      <c r="J86" s="450" t="s">
        <v>322</v>
      </c>
      <c r="K86" s="469">
        <v>5.2</v>
      </c>
      <c r="L86" s="470" t="s">
        <v>322</v>
      </c>
      <c r="M86" s="509"/>
    </row>
    <row r="87" spans="1:13" ht="12.75">
      <c r="A87" s="466" t="s">
        <v>318</v>
      </c>
      <c r="B87" s="450" t="s">
        <v>323</v>
      </c>
      <c r="C87" s="458" t="s">
        <v>326</v>
      </c>
      <c r="D87" s="449">
        <v>37874</v>
      </c>
      <c r="E87" s="450" t="s">
        <v>322</v>
      </c>
      <c r="F87" s="467">
        <v>0.8</v>
      </c>
      <c r="G87" s="467" t="s">
        <v>321</v>
      </c>
      <c r="H87" s="468" t="s">
        <v>322</v>
      </c>
      <c r="I87" s="450" t="s">
        <v>322</v>
      </c>
      <c r="J87" s="450" t="s">
        <v>322</v>
      </c>
      <c r="K87" s="469">
        <v>5.2</v>
      </c>
      <c r="L87" s="470" t="s">
        <v>322</v>
      </c>
      <c r="M87" s="509"/>
    </row>
    <row r="88" spans="1:13" ht="12.75">
      <c r="A88" s="466" t="s">
        <v>318</v>
      </c>
      <c r="B88" s="450" t="s">
        <v>323</v>
      </c>
      <c r="C88" s="458" t="s">
        <v>326</v>
      </c>
      <c r="D88" s="449">
        <v>37964</v>
      </c>
      <c r="E88" s="450" t="s">
        <v>245</v>
      </c>
      <c r="F88" s="467">
        <v>0.5</v>
      </c>
      <c r="G88" s="467" t="s">
        <v>321</v>
      </c>
      <c r="H88" s="468" t="s">
        <v>322</v>
      </c>
      <c r="I88" s="450" t="s">
        <v>322</v>
      </c>
      <c r="J88" s="450" t="s">
        <v>322</v>
      </c>
      <c r="K88" s="469">
        <v>5.2</v>
      </c>
      <c r="L88" s="470" t="s">
        <v>322</v>
      </c>
      <c r="M88" s="509"/>
    </row>
    <row r="89" spans="1:13" ht="12.75">
      <c r="A89" s="466" t="s">
        <v>318</v>
      </c>
      <c r="B89" s="450" t="s">
        <v>323</v>
      </c>
      <c r="C89" s="458" t="s">
        <v>326</v>
      </c>
      <c r="D89" s="449">
        <v>38055</v>
      </c>
      <c r="E89" s="450" t="s">
        <v>322</v>
      </c>
      <c r="F89" s="467">
        <v>0.7</v>
      </c>
      <c r="G89" s="467" t="s">
        <v>321</v>
      </c>
      <c r="H89" s="468" t="s">
        <v>322</v>
      </c>
      <c r="I89" s="450" t="s">
        <v>322</v>
      </c>
      <c r="J89" s="450" t="s">
        <v>322</v>
      </c>
      <c r="K89" s="469">
        <v>5.2</v>
      </c>
      <c r="L89" s="470" t="s">
        <v>322</v>
      </c>
      <c r="M89" s="509"/>
    </row>
    <row r="90" spans="1:13" ht="12.75">
      <c r="A90" s="466" t="s">
        <v>318</v>
      </c>
      <c r="B90" s="450" t="s">
        <v>323</v>
      </c>
      <c r="C90" s="458" t="s">
        <v>326</v>
      </c>
      <c r="D90" s="449">
        <v>38146</v>
      </c>
      <c r="E90" s="450" t="s">
        <v>245</v>
      </c>
      <c r="F90" s="467">
        <v>0.5</v>
      </c>
      <c r="G90" s="467" t="s">
        <v>321</v>
      </c>
      <c r="H90" s="468" t="s">
        <v>322</v>
      </c>
      <c r="I90" s="450" t="s">
        <v>322</v>
      </c>
      <c r="J90" s="450" t="s">
        <v>322</v>
      </c>
      <c r="K90" s="469">
        <v>5.2</v>
      </c>
      <c r="L90" s="470" t="s">
        <v>322</v>
      </c>
      <c r="M90" s="509"/>
    </row>
    <row r="91" spans="1:13" ht="12.75">
      <c r="A91" s="466" t="s">
        <v>318</v>
      </c>
      <c r="B91" s="450" t="s">
        <v>323</v>
      </c>
      <c r="C91" s="458" t="s">
        <v>326</v>
      </c>
      <c r="D91" s="449">
        <v>38239</v>
      </c>
      <c r="E91" s="450" t="s">
        <v>245</v>
      </c>
      <c r="F91" s="467">
        <v>0.5</v>
      </c>
      <c r="G91" s="467" t="s">
        <v>321</v>
      </c>
      <c r="H91" s="468" t="s">
        <v>322</v>
      </c>
      <c r="I91" s="450" t="s">
        <v>322</v>
      </c>
      <c r="J91" s="450" t="s">
        <v>322</v>
      </c>
      <c r="K91" s="469">
        <v>5.2</v>
      </c>
      <c r="L91" s="470" t="s">
        <v>322</v>
      </c>
      <c r="M91" s="509"/>
    </row>
    <row r="92" spans="1:13" ht="12.75">
      <c r="A92" s="466" t="s">
        <v>318</v>
      </c>
      <c r="B92" s="450" t="s">
        <v>323</v>
      </c>
      <c r="C92" s="458" t="s">
        <v>326</v>
      </c>
      <c r="D92" s="449">
        <v>38328</v>
      </c>
      <c r="E92" s="450" t="s">
        <v>322</v>
      </c>
      <c r="F92" s="467">
        <v>0.5</v>
      </c>
      <c r="G92" s="467" t="s">
        <v>321</v>
      </c>
      <c r="H92" s="468" t="s">
        <v>322</v>
      </c>
      <c r="I92" s="450" t="s">
        <v>322</v>
      </c>
      <c r="J92" s="450" t="s">
        <v>322</v>
      </c>
      <c r="K92" s="469">
        <v>5.2</v>
      </c>
      <c r="L92" s="470" t="s">
        <v>322</v>
      </c>
      <c r="M92" s="509"/>
    </row>
    <row r="93" spans="1:13" ht="12.75">
      <c r="A93" s="466" t="s">
        <v>318</v>
      </c>
      <c r="B93" s="450" t="s">
        <v>323</v>
      </c>
      <c r="C93" s="458" t="s">
        <v>326</v>
      </c>
      <c r="D93" s="449">
        <v>38419</v>
      </c>
      <c r="E93" s="450" t="s">
        <v>245</v>
      </c>
      <c r="F93" s="467">
        <v>0.5</v>
      </c>
      <c r="G93" s="467" t="s">
        <v>321</v>
      </c>
      <c r="H93" s="468" t="s">
        <v>322</v>
      </c>
      <c r="I93" s="450" t="s">
        <v>322</v>
      </c>
      <c r="J93" s="450" t="s">
        <v>322</v>
      </c>
      <c r="K93" s="469">
        <v>5.2</v>
      </c>
      <c r="L93" s="470" t="s">
        <v>322</v>
      </c>
      <c r="M93" s="509"/>
    </row>
    <row r="94" spans="1:13" ht="12.75">
      <c r="A94" s="466" t="s">
        <v>318</v>
      </c>
      <c r="B94" s="450" t="s">
        <v>323</v>
      </c>
      <c r="C94" s="458" t="s">
        <v>326</v>
      </c>
      <c r="D94" s="449">
        <v>38511</v>
      </c>
      <c r="E94" s="450" t="s">
        <v>322</v>
      </c>
      <c r="F94" s="467">
        <v>0.9</v>
      </c>
      <c r="G94" s="467" t="s">
        <v>321</v>
      </c>
      <c r="H94" s="468" t="s">
        <v>322</v>
      </c>
      <c r="I94" s="450" t="s">
        <v>322</v>
      </c>
      <c r="J94" s="450" t="s">
        <v>322</v>
      </c>
      <c r="K94" s="469">
        <v>5.2</v>
      </c>
      <c r="L94" s="470" t="s">
        <v>322</v>
      </c>
      <c r="M94" s="509"/>
    </row>
    <row r="95" spans="1:13" ht="12.75">
      <c r="A95" s="466" t="s">
        <v>318</v>
      </c>
      <c r="B95" s="450" t="s">
        <v>323</v>
      </c>
      <c r="C95" s="458" t="s">
        <v>326</v>
      </c>
      <c r="D95" s="449">
        <v>38602</v>
      </c>
      <c r="E95" s="450" t="s">
        <v>322</v>
      </c>
      <c r="F95" s="467">
        <v>0.9</v>
      </c>
      <c r="G95" s="467" t="s">
        <v>321</v>
      </c>
      <c r="H95" s="468" t="s">
        <v>322</v>
      </c>
      <c r="I95" s="450" t="s">
        <v>322</v>
      </c>
      <c r="J95" s="450" t="s">
        <v>322</v>
      </c>
      <c r="K95" s="469">
        <v>5.2</v>
      </c>
      <c r="L95" s="470" t="s">
        <v>322</v>
      </c>
      <c r="M95" s="509"/>
    </row>
    <row r="96" spans="1:13" ht="12.75">
      <c r="A96" s="466" t="s">
        <v>318</v>
      </c>
      <c r="B96" s="450" t="s">
        <v>323</v>
      </c>
      <c r="C96" s="458" t="s">
        <v>326</v>
      </c>
      <c r="D96" s="449">
        <v>38699</v>
      </c>
      <c r="E96" s="450" t="s">
        <v>322</v>
      </c>
      <c r="F96" s="467">
        <v>0.6</v>
      </c>
      <c r="G96" s="467" t="s">
        <v>321</v>
      </c>
      <c r="H96" s="468" t="s">
        <v>322</v>
      </c>
      <c r="I96" s="450" t="s">
        <v>322</v>
      </c>
      <c r="J96" s="450" t="s">
        <v>322</v>
      </c>
      <c r="K96" s="469">
        <v>5.2</v>
      </c>
      <c r="L96" s="470" t="s">
        <v>322</v>
      </c>
      <c r="M96" s="509"/>
    </row>
    <row r="97" spans="1:13" ht="12.75">
      <c r="A97" s="466" t="s">
        <v>318</v>
      </c>
      <c r="B97" s="450" t="s">
        <v>323</v>
      </c>
      <c r="C97" s="458" t="s">
        <v>327</v>
      </c>
      <c r="D97" s="449">
        <v>36528</v>
      </c>
      <c r="E97" s="450" t="s">
        <v>322</v>
      </c>
      <c r="F97" s="467">
        <v>7</v>
      </c>
      <c r="G97" s="467" t="s">
        <v>321</v>
      </c>
      <c r="H97" s="468" t="s">
        <v>322</v>
      </c>
      <c r="I97" s="450" t="s">
        <v>322</v>
      </c>
      <c r="J97" s="450" t="s">
        <v>322</v>
      </c>
      <c r="K97" s="469">
        <v>6</v>
      </c>
      <c r="L97" s="470" t="s">
        <v>322</v>
      </c>
      <c r="M97" s="509"/>
    </row>
    <row r="98" spans="1:13" ht="12.75">
      <c r="A98" s="466" t="s">
        <v>318</v>
      </c>
      <c r="B98" s="450" t="s">
        <v>323</v>
      </c>
      <c r="C98" s="458" t="s">
        <v>327</v>
      </c>
      <c r="D98" s="449">
        <v>36563</v>
      </c>
      <c r="E98" s="450" t="s">
        <v>322</v>
      </c>
      <c r="F98" s="467">
        <v>7</v>
      </c>
      <c r="G98" s="467" t="s">
        <v>321</v>
      </c>
      <c r="H98" s="468" t="s">
        <v>322</v>
      </c>
      <c r="I98" s="450" t="s">
        <v>322</v>
      </c>
      <c r="J98" s="450" t="s">
        <v>322</v>
      </c>
      <c r="K98" s="469">
        <v>6</v>
      </c>
      <c r="L98" s="470" t="s">
        <v>322</v>
      </c>
      <c r="M98" s="509"/>
    </row>
    <row r="99" spans="1:13" ht="12.75">
      <c r="A99" s="466" t="s">
        <v>318</v>
      </c>
      <c r="B99" s="450" t="s">
        <v>323</v>
      </c>
      <c r="C99" s="458" t="s">
        <v>327</v>
      </c>
      <c r="D99" s="449">
        <v>36599</v>
      </c>
      <c r="E99" s="450" t="s">
        <v>322</v>
      </c>
      <c r="F99" s="467">
        <v>6</v>
      </c>
      <c r="G99" s="467" t="s">
        <v>321</v>
      </c>
      <c r="H99" s="468" t="s">
        <v>322</v>
      </c>
      <c r="I99" s="450" t="s">
        <v>322</v>
      </c>
      <c r="J99" s="450" t="s">
        <v>322</v>
      </c>
      <c r="K99" s="469">
        <v>6</v>
      </c>
      <c r="L99" s="470" t="s">
        <v>322</v>
      </c>
      <c r="M99" s="509"/>
    </row>
    <row r="100" spans="1:13" ht="12.75">
      <c r="A100" s="466" t="s">
        <v>318</v>
      </c>
      <c r="B100" s="450" t="s">
        <v>323</v>
      </c>
      <c r="C100" s="458" t="s">
        <v>327</v>
      </c>
      <c r="D100" s="449">
        <v>36619</v>
      </c>
      <c r="E100" s="450" t="s">
        <v>322</v>
      </c>
      <c r="F100" s="467">
        <v>7</v>
      </c>
      <c r="G100" s="467" t="s">
        <v>321</v>
      </c>
      <c r="H100" s="468" t="s">
        <v>322</v>
      </c>
      <c r="I100" s="450" t="s">
        <v>322</v>
      </c>
      <c r="J100" s="450" t="s">
        <v>322</v>
      </c>
      <c r="K100" s="469">
        <v>6</v>
      </c>
      <c r="L100" s="470" t="s">
        <v>322</v>
      </c>
      <c r="M100" s="509"/>
    </row>
    <row r="101" spans="1:13" ht="12.75">
      <c r="A101" s="466" t="s">
        <v>318</v>
      </c>
      <c r="B101" s="450" t="s">
        <v>323</v>
      </c>
      <c r="C101" s="458" t="s">
        <v>327</v>
      </c>
      <c r="D101" s="449">
        <v>36654</v>
      </c>
      <c r="E101" s="450" t="s">
        <v>322</v>
      </c>
      <c r="F101" s="467">
        <v>6</v>
      </c>
      <c r="G101" s="467" t="s">
        <v>321</v>
      </c>
      <c r="H101" s="468" t="s">
        <v>322</v>
      </c>
      <c r="I101" s="450" t="s">
        <v>322</v>
      </c>
      <c r="J101" s="450" t="s">
        <v>322</v>
      </c>
      <c r="K101" s="469">
        <v>6</v>
      </c>
      <c r="L101" s="470" t="s">
        <v>322</v>
      </c>
      <c r="M101" s="509"/>
    </row>
    <row r="102" spans="1:13" ht="12.75">
      <c r="A102" s="466" t="s">
        <v>318</v>
      </c>
      <c r="B102" s="450" t="s">
        <v>323</v>
      </c>
      <c r="C102" s="458" t="s">
        <v>327</v>
      </c>
      <c r="D102" s="449">
        <v>36690</v>
      </c>
      <c r="E102" s="450" t="s">
        <v>322</v>
      </c>
      <c r="F102" s="467">
        <v>6</v>
      </c>
      <c r="G102" s="467" t="s">
        <v>321</v>
      </c>
      <c r="H102" s="468" t="s">
        <v>322</v>
      </c>
      <c r="I102" s="450" t="s">
        <v>322</v>
      </c>
      <c r="J102" s="450" t="s">
        <v>322</v>
      </c>
      <c r="K102" s="469">
        <v>6</v>
      </c>
      <c r="L102" s="470" t="s">
        <v>322</v>
      </c>
      <c r="M102" s="509"/>
    </row>
    <row r="103" spans="1:13" ht="12.75">
      <c r="A103" s="466" t="s">
        <v>318</v>
      </c>
      <c r="B103" s="450" t="s">
        <v>323</v>
      </c>
      <c r="C103" s="458" t="s">
        <v>327</v>
      </c>
      <c r="D103" s="449">
        <v>36717</v>
      </c>
      <c r="E103" s="450" t="s">
        <v>322</v>
      </c>
      <c r="F103" s="467">
        <v>6</v>
      </c>
      <c r="G103" s="467" t="s">
        <v>321</v>
      </c>
      <c r="H103" s="468" t="s">
        <v>322</v>
      </c>
      <c r="I103" s="450" t="s">
        <v>322</v>
      </c>
      <c r="J103" s="450" t="s">
        <v>322</v>
      </c>
      <c r="K103" s="469">
        <v>6</v>
      </c>
      <c r="L103" s="470" t="s">
        <v>322</v>
      </c>
      <c r="M103" s="509"/>
    </row>
    <row r="104" spans="1:13" ht="12.75">
      <c r="A104" s="466" t="s">
        <v>318</v>
      </c>
      <c r="B104" s="450" t="s">
        <v>323</v>
      </c>
      <c r="C104" s="458" t="s">
        <v>327</v>
      </c>
      <c r="D104" s="449">
        <v>36753</v>
      </c>
      <c r="E104" s="450" t="s">
        <v>322</v>
      </c>
      <c r="F104" s="467">
        <v>7</v>
      </c>
      <c r="G104" s="467" t="s">
        <v>321</v>
      </c>
      <c r="H104" s="468" t="s">
        <v>322</v>
      </c>
      <c r="I104" s="450" t="s">
        <v>322</v>
      </c>
      <c r="J104" s="450" t="s">
        <v>322</v>
      </c>
      <c r="K104" s="469">
        <v>6</v>
      </c>
      <c r="L104" s="470" t="s">
        <v>322</v>
      </c>
      <c r="M104" s="509"/>
    </row>
    <row r="105" spans="1:13" ht="12.75">
      <c r="A105" s="466" t="s">
        <v>318</v>
      </c>
      <c r="B105" s="450" t="s">
        <v>323</v>
      </c>
      <c r="C105" s="458" t="s">
        <v>327</v>
      </c>
      <c r="D105" s="449">
        <v>36775</v>
      </c>
      <c r="E105" s="450" t="s">
        <v>322</v>
      </c>
      <c r="F105" s="467">
        <v>5</v>
      </c>
      <c r="G105" s="467" t="s">
        <v>321</v>
      </c>
      <c r="H105" s="468" t="s">
        <v>322</v>
      </c>
      <c r="I105" s="450" t="s">
        <v>322</v>
      </c>
      <c r="J105" s="450" t="s">
        <v>322</v>
      </c>
      <c r="K105" s="469">
        <v>6</v>
      </c>
      <c r="L105" s="470" t="s">
        <v>322</v>
      </c>
      <c r="M105" s="509"/>
    </row>
    <row r="106" spans="1:13" ht="12.75">
      <c r="A106" s="466" t="s">
        <v>318</v>
      </c>
      <c r="B106" s="450" t="s">
        <v>323</v>
      </c>
      <c r="C106" s="458" t="s">
        <v>327</v>
      </c>
      <c r="D106" s="449">
        <v>36801</v>
      </c>
      <c r="E106" s="450" t="s">
        <v>322</v>
      </c>
      <c r="F106" s="467">
        <v>8</v>
      </c>
      <c r="G106" s="467" t="s">
        <v>321</v>
      </c>
      <c r="H106" s="468" t="s">
        <v>322</v>
      </c>
      <c r="I106" s="450" t="s">
        <v>322</v>
      </c>
      <c r="J106" s="450" t="s">
        <v>322</v>
      </c>
      <c r="K106" s="469">
        <v>6</v>
      </c>
      <c r="L106" s="470" t="s">
        <v>322</v>
      </c>
      <c r="M106" s="509"/>
    </row>
    <row r="107" spans="1:13" ht="12.75">
      <c r="A107" s="466" t="s">
        <v>318</v>
      </c>
      <c r="B107" s="450" t="s">
        <v>323</v>
      </c>
      <c r="C107" s="458" t="s">
        <v>327</v>
      </c>
      <c r="D107" s="449">
        <v>36847</v>
      </c>
      <c r="E107" s="450" t="s">
        <v>322</v>
      </c>
      <c r="F107" s="467">
        <v>7</v>
      </c>
      <c r="G107" s="467" t="s">
        <v>321</v>
      </c>
      <c r="H107" s="468" t="s">
        <v>322</v>
      </c>
      <c r="I107" s="450" t="s">
        <v>322</v>
      </c>
      <c r="J107" s="450" t="s">
        <v>322</v>
      </c>
      <c r="K107" s="469">
        <v>6</v>
      </c>
      <c r="L107" s="470" t="s">
        <v>322</v>
      </c>
      <c r="M107" s="509"/>
    </row>
    <row r="108" spans="1:13" ht="12.75">
      <c r="A108" s="466" t="s">
        <v>318</v>
      </c>
      <c r="B108" s="450" t="s">
        <v>323</v>
      </c>
      <c r="C108" s="458" t="s">
        <v>327</v>
      </c>
      <c r="D108" s="449">
        <v>36872</v>
      </c>
      <c r="E108" s="450" t="s">
        <v>322</v>
      </c>
      <c r="F108" s="467">
        <v>6</v>
      </c>
      <c r="G108" s="467" t="s">
        <v>321</v>
      </c>
      <c r="H108" s="468" t="s">
        <v>322</v>
      </c>
      <c r="I108" s="450" t="s">
        <v>322</v>
      </c>
      <c r="J108" s="450" t="s">
        <v>322</v>
      </c>
      <c r="K108" s="469">
        <v>6</v>
      </c>
      <c r="L108" s="470" t="s">
        <v>322</v>
      </c>
      <c r="M108" s="509"/>
    </row>
    <row r="109" spans="1:13" ht="12.75">
      <c r="A109" s="466" t="s">
        <v>318</v>
      </c>
      <c r="B109" s="450" t="s">
        <v>323</v>
      </c>
      <c r="C109" s="458" t="s">
        <v>327</v>
      </c>
      <c r="D109" s="449">
        <v>36936</v>
      </c>
      <c r="E109" s="450" t="s">
        <v>322</v>
      </c>
      <c r="F109" s="467">
        <v>3</v>
      </c>
      <c r="G109" s="467" t="s">
        <v>321</v>
      </c>
      <c r="H109" s="468" t="s">
        <v>322</v>
      </c>
      <c r="I109" s="450" t="s">
        <v>322</v>
      </c>
      <c r="J109" s="450" t="s">
        <v>322</v>
      </c>
      <c r="K109" s="469">
        <v>6</v>
      </c>
      <c r="L109" s="470" t="s">
        <v>322</v>
      </c>
      <c r="M109" s="509"/>
    </row>
    <row r="110" spans="1:13" ht="12.75">
      <c r="A110" s="466" t="s">
        <v>318</v>
      </c>
      <c r="B110" s="450" t="s">
        <v>323</v>
      </c>
      <c r="C110" s="458" t="s">
        <v>327</v>
      </c>
      <c r="D110" s="449">
        <v>36957</v>
      </c>
      <c r="E110" s="450" t="s">
        <v>245</v>
      </c>
      <c r="F110" s="467">
        <v>2</v>
      </c>
      <c r="G110" s="467" t="s">
        <v>321</v>
      </c>
      <c r="H110" s="468" t="s">
        <v>322</v>
      </c>
      <c r="I110" s="450" t="s">
        <v>322</v>
      </c>
      <c r="J110" s="450" t="s">
        <v>322</v>
      </c>
      <c r="K110" s="469">
        <v>6</v>
      </c>
      <c r="L110" s="470" t="s">
        <v>322</v>
      </c>
      <c r="M110" s="509"/>
    </row>
    <row r="111" spans="1:13" ht="12.75">
      <c r="A111" s="466" t="s">
        <v>318</v>
      </c>
      <c r="B111" s="450" t="s">
        <v>323</v>
      </c>
      <c r="C111" s="458" t="s">
        <v>327</v>
      </c>
      <c r="D111" s="449">
        <v>36992</v>
      </c>
      <c r="E111" s="450" t="s">
        <v>322</v>
      </c>
      <c r="F111" s="467">
        <v>3</v>
      </c>
      <c r="G111" s="467" t="s">
        <v>321</v>
      </c>
      <c r="H111" s="468" t="s">
        <v>322</v>
      </c>
      <c r="I111" s="450" t="s">
        <v>322</v>
      </c>
      <c r="J111" s="450" t="s">
        <v>322</v>
      </c>
      <c r="K111" s="469">
        <v>6</v>
      </c>
      <c r="L111" s="470" t="s">
        <v>322</v>
      </c>
      <c r="M111" s="509"/>
    </row>
    <row r="112" spans="1:13" ht="12.75">
      <c r="A112" s="466" t="s">
        <v>318</v>
      </c>
      <c r="B112" s="450" t="s">
        <v>323</v>
      </c>
      <c r="C112" s="458" t="s">
        <v>327</v>
      </c>
      <c r="D112" s="449">
        <v>37027</v>
      </c>
      <c r="E112" s="450" t="s">
        <v>245</v>
      </c>
      <c r="F112" s="467">
        <v>5</v>
      </c>
      <c r="G112" s="467" t="s">
        <v>321</v>
      </c>
      <c r="H112" s="468" t="s">
        <v>322</v>
      </c>
      <c r="I112" s="450" t="s">
        <v>322</v>
      </c>
      <c r="J112" s="450" t="s">
        <v>322</v>
      </c>
      <c r="K112" s="469">
        <v>6</v>
      </c>
      <c r="L112" s="470" t="s">
        <v>322</v>
      </c>
      <c r="M112" s="509"/>
    </row>
    <row r="113" spans="1:13" ht="12.75">
      <c r="A113" s="466" t="s">
        <v>318</v>
      </c>
      <c r="B113" s="450" t="s">
        <v>323</v>
      </c>
      <c r="C113" s="458" t="s">
        <v>327</v>
      </c>
      <c r="D113" s="449">
        <v>37089</v>
      </c>
      <c r="E113" s="450" t="s">
        <v>322</v>
      </c>
      <c r="F113" s="467">
        <v>3.2</v>
      </c>
      <c r="G113" s="467" t="s">
        <v>321</v>
      </c>
      <c r="H113" s="468" t="s">
        <v>322</v>
      </c>
      <c r="I113" s="450" t="s">
        <v>322</v>
      </c>
      <c r="J113" s="450" t="s">
        <v>322</v>
      </c>
      <c r="K113" s="469">
        <v>6</v>
      </c>
      <c r="L113" s="470" t="s">
        <v>322</v>
      </c>
      <c r="M113" s="509"/>
    </row>
    <row r="114" spans="1:13" ht="12.75">
      <c r="A114" s="466" t="s">
        <v>318</v>
      </c>
      <c r="B114" s="450" t="s">
        <v>323</v>
      </c>
      <c r="C114" s="458" t="s">
        <v>327</v>
      </c>
      <c r="D114" s="449">
        <v>37117</v>
      </c>
      <c r="E114" s="450" t="s">
        <v>322</v>
      </c>
      <c r="F114" s="467">
        <v>2.4</v>
      </c>
      <c r="G114" s="467" t="s">
        <v>321</v>
      </c>
      <c r="H114" s="468" t="s">
        <v>322</v>
      </c>
      <c r="I114" s="450" t="s">
        <v>322</v>
      </c>
      <c r="J114" s="450" t="s">
        <v>322</v>
      </c>
      <c r="K114" s="469">
        <v>6</v>
      </c>
      <c r="L114" s="470" t="s">
        <v>322</v>
      </c>
      <c r="M114" s="509"/>
    </row>
    <row r="115" spans="1:13" ht="12.75">
      <c r="A115" s="466" t="s">
        <v>318</v>
      </c>
      <c r="B115" s="450" t="s">
        <v>323</v>
      </c>
      <c r="C115" s="458" t="s">
        <v>327</v>
      </c>
      <c r="D115" s="449">
        <v>37139</v>
      </c>
      <c r="E115" s="450" t="s">
        <v>245</v>
      </c>
      <c r="F115" s="467">
        <v>5</v>
      </c>
      <c r="G115" s="467" t="s">
        <v>321</v>
      </c>
      <c r="H115" s="468" t="s">
        <v>322</v>
      </c>
      <c r="I115" s="450" t="s">
        <v>322</v>
      </c>
      <c r="J115" s="450" t="s">
        <v>322</v>
      </c>
      <c r="K115" s="469">
        <v>6</v>
      </c>
      <c r="L115" s="470" t="s">
        <v>322</v>
      </c>
      <c r="M115" s="509"/>
    </row>
    <row r="116" spans="1:13" ht="12.75">
      <c r="A116" s="466" t="s">
        <v>318</v>
      </c>
      <c r="B116" s="450" t="s">
        <v>323</v>
      </c>
      <c r="C116" s="458" t="s">
        <v>327</v>
      </c>
      <c r="D116" s="449">
        <v>37166</v>
      </c>
      <c r="E116" s="450" t="s">
        <v>245</v>
      </c>
      <c r="F116" s="467">
        <v>5</v>
      </c>
      <c r="G116" s="467" t="s">
        <v>321</v>
      </c>
      <c r="H116" s="468" t="s">
        <v>322</v>
      </c>
      <c r="I116" s="450" t="s">
        <v>322</v>
      </c>
      <c r="J116" s="450" t="s">
        <v>322</v>
      </c>
      <c r="K116" s="469">
        <v>6</v>
      </c>
      <c r="L116" s="470" t="s">
        <v>322</v>
      </c>
      <c r="M116" s="509"/>
    </row>
    <row r="117" spans="1:13" ht="12.75">
      <c r="A117" s="466" t="s">
        <v>318</v>
      </c>
      <c r="B117" s="450" t="s">
        <v>323</v>
      </c>
      <c r="C117" s="458" t="s">
        <v>327</v>
      </c>
      <c r="D117" s="449">
        <v>37208</v>
      </c>
      <c r="E117" s="450" t="s">
        <v>322</v>
      </c>
      <c r="F117" s="467">
        <v>4.2</v>
      </c>
      <c r="G117" s="467" t="s">
        <v>321</v>
      </c>
      <c r="H117" s="468" t="s">
        <v>322</v>
      </c>
      <c r="I117" s="450" t="s">
        <v>322</v>
      </c>
      <c r="J117" s="450" t="s">
        <v>322</v>
      </c>
      <c r="K117" s="469">
        <v>6</v>
      </c>
      <c r="L117" s="470" t="s">
        <v>322</v>
      </c>
      <c r="M117" s="509"/>
    </row>
    <row r="118" spans="1:13" ht="12.75">
      <c r="A118" s="466" t="s">
        <v>318</v>
      </c>
      <c r="B118" s="450" t="s">
        <v>323</v>
      </c>
      <c r="C118" s="458" t="s">
        <v>327</v>
      </c>
      <c r="D118" s="449">
        <v>37231</v>
      </c>
      <c r="E118" s="450" t="s">
        <v>322</v>
      </c>
      <c r="F118" s="467">
        <v>4.1</v>
      </c>
      <c r="G118" s="467" t="s">
        <v>321</v>
      </c>
      <c r="H118" s="468" t="s">
        <v>322</v>
      </c>
      <c r="I118" s="450" t="s">
        <v>322</v>
      </c>
      <c r="J118" s="450" t="s">
        <v>322</v>
      </c>
      <c r="K118" s="469">
        <v>6</v>
      </c>
      <c r="L118" s="470" t="s">
        <v>322</v>
      </c>
      <c r="M118" s="509"/>
    </row>
    <row r="119" spans="1:13" ht="12.75">
      <c r="A119" s="466" t="s">
        <v>318</v>
      </c>
      <c r="B119" s="450" t="s">
        <v>323</v>
      </c>
      <c r="C119" s="458" t="s">
        <v>327</v>
      </c>
      <c r="D119" s="449">
        <v>37263</v>
      </c>
      <c r="E119" s="450" t="s">
        <v>322</v>
      </c>
      <c r="F119" s="467">
        <v>3.6</v>
      </c>
      <c r="G119" s="467" t="s">
        <v>321</v>
      </c>
      <c r="H119" s="468" t="s">
        <v>322</v>
      </c>
      <c r="I119" s="450" t="s">
        <v>322</v>
      </c>
      <c r="J119" s="450" t="s">
        <v>322</v>
      </c>
      <c r="K119" s="469">
        <v>6</v>
      </c>
      <c r="L119" s="470" t="s">
        <v>322</v>
      </c>
      <c r="M119" s="509"/>
    </row>
    <row r="120" spans="1:13" ht="12.75">
      <c r="A120" s="466" t="s">
        <v>318</v>
      </c>
      <c r="B120" s="450" t="s">
        <v>323</v>
      </c>
      <c r="C120" s="458" t="s">
        <v>327</v>
      </c>
      <c r="D120" s="449">
        <v>37292</v>
      </c>
      <c r="E120" s="450" t="s">
        <v>322</v>
      </c>
      <c r="F120" s="467">
        <v>3.4</v>
      </c>
      <c r="G120" s="467" t="s">
        <v>321</v>
      </c>
      <c r="H120" s="468" t="s">
        <v>322</v>
      </c>
      <c r="I120" s="450" t="s">
        <v>322</v>
      </c>
      <c r="J120" s="450" t="s">
        <v>322</v>
      </c>
      <c r="K120" s="469">
        <v>6</v>
      </c>
      <c r="L120" s="470" t="s">
        <v>322</v>
      </c>
      <c r="M120" s="509"/>
    </row>
    <row r="121" spans="1:13" ht="12.75">
      <c r="A121" s="466" t="s">
        <v>318</v>
      </c>
      <c r="B121" s="450" t="s">
        <v>323</v>
      </c>
      <c r="C121" s="458" t="s">
        <v>327</v>
      </c>
      <c r="D121" s="449">
        <v>37336</v>
      </c>
      <c r="E121" s="450" t="s">
        <v>322</v>
      </c>
      <c r="F121" s="467">
        <v>2.6</v>
      </c>
      <c r="G121" s="467" t="s">
        <v>321</v>
      </c>
      <c r="H121" s="468" t="s">
        <v>322</v>
      </c>
      <c r="I121" s="450" t="s">
        <v>322</v>
      </c>
      <c r="J121" s="450" t="s">
        <v>322</v>
      </c>
      <c r="K121" s="469">
        <v>6</v>
      </c>
      <c r="L121" s="470" t="s">
        <v>322</v>
      </c>
      <c r="M121" s="509"/>
    </row>
    <row r="122" spans="1:13" ht="12.75">
      <c r="A122" s="466" t="s">
        <v>318</v>
      </c>
      <c r="B122" s="450" t="s">
        <v>323</v>
      </c>
      <c r="C122" s="458" t="s">
        <v>327</v>
      </c>
      <c r="D122" s="449">
        <v>37348</v>
      </c>
      <c r="E122" s="450" t="s">
        <v>322</v>
      </c>
      <c r="F122" s="467">
        <v>3.8</v>
      </c>
      <c r="G122" s="467" t="s">
        <v>321</v>
      </c>
      <c r="H122" s="468" t="s">
        <v>322</v>
      </c>
      <c r="I122" s="450" t="s">
        <v>322</v>
      </c>
      <c r="J122" s="450" t="s">
        <v>322</v>
      </c>
      <c r="K122" s="469">
        <v>6</v>
      </c>
      <c r="L122" s="470" t="s">
        <v>322</v>
      </c>
      <c r="M122" s="509"/>
    </row>
    <row r="123" spans="1:13" ht="12.75">
      <c r="A123" s="466" t="s">
        <v>318</v>
      </c>
      <c r="B123" s="450" t="s">
        <v>323</v>
      </c>
      <c r="C123" s="458" t="s">
        <v>327</v>
      </c>
      <c r="D123" s="449">
        <v>37420</v>
      </c>
      <c r="E123" s="450" t="s">
        <v>322</v>
      </c>
      <c r="F123" s="467">
        <v>3.9</v>
      </c>
      <c r="G123" s="467" t="s">
        <v>321</v>
      </c>
      <c r="H123" s="468" t="s">
        <v>322</v>
      </c>
      <c r="I123" s="450" t="s">
        <v>322</v>
      </c>
      <c r="J123" s="450" t="s">
        <v>322</v>
      </c>
      <c r="K123" s="469">
        <v>6</v>
      </c>
      <c r="L123" s="470" t="s">
        <v>322</v>
      </c>
      <c r="M123" s="509"/>
    </row>
    <row r="124" spans="1:13" ht="12.75">
      <c r="A124" s="466" t="s">
        <v>318</v>
      </c>
      <c r="B124" s="450" t="s">
        <v>323</v>
      </c>
      <c r="C124" s="458" t="s">
        <v>327</v>
      </c>
      <c r="D124" s="449">
        <v>37440</v>
      </c>
      <c r="E124" s="450" t="s">
        <v>322</v>
      </c>
      <c r="F124" s="467">
        <v>4.2</v>
      </c>
      <c r="G124" s="467" t="s">
        <v>321</v>
      </c>
      <c r="H124" s="468" t="s">
        <v>322</v>
      </c>
      <c r="I124" s="450" t="s">
        <v>322</v>
      </c>
      <c r="J124" s="450" t="s">
        <v>322</v>
      </c>
      <c r="K124" s="469">
        <v>6</v>
      </c>
      <c r="L124" s="470" t="s">
        <v>322</v>
      </c>
      <c r="M124" s="509"/>
    </row>
    <row r="125" spans="1:13" ht="12.75">
      <c r="A125" s="466" t="s">
        <v>318</v>
      </c>
      <c r="B125" s="450" t="s">
        <v>323</v>
      </c>
      <c r="C125" s="458" t="s">
        <v>327</v>
      </c>
      <c r="D125" s="449">
        <v>37476</v>
      </c>
      <c r="E125" s="450" t="s">
        <v>322</v>
      </c>
      <c r="F125" s="467">
        <v>3.4</v>
      </c>
      <c r="G125" s="467" t="s">
        <v>321</v>
      </c>
      <c r="H125" s="468" t="s">
        <v>322</v>
      </c>
      <c r="I125" s="450" t="s">
        <v>322</v>
      </c>
      <c r="J125" s="450" t="s">
        <v>322</v>
      </c>
      <c r="K125" s="469">
        <v>6</v>
      </c>
      <c r="L125" s="470" t="s">
        <v>322</v>
      </c>
      <c r="M125" s="509"/>
    </row>
    <row r="126" spans="1:13" ht="12.75">
      <c r="A126" s="466" t="s">
        <v>318</v>
      </c>
      <c r="B126" s="450" t="s">
        <v>323</v>
      </c>
      <c r="C126" s="458" t="s">
        <v>327</v>
      </c>
      <c r="D126" s="449">
        <v>37511</v>
      </c>
      <c r="E126" s="450" t="s">
        <v>322</v>
      </c>
      <c r="F126" s="467">
        <v>4</v>
      </c>
      <c r="G126" s="467" t="s">
        <v>321</v>
      </c>
      <c r="H126" s="468" t="s">
        <v>322</v>
      </c>
      <c r="I126" s="450" t="s">
        <v>322</v>
      </c>
      <c r="J126" s="450" t="s">
        <v>322</v>
      </c>
      <c r="K126" s="469">
        <v>6</v>
      </c>
      <c r="L126" s="470" t="s">
        <v>322</v>
      </c>
      <c r="M126" s="509"/>
    </row>
    <row r="127" spans="1:13" ht="12.75">
      <c r="A127" s="466" t="s">
        <v>318</v>
      </c>
      <c r="B127" s="450" t="s">
        <v>323</v>
      </c>
      <c r="C127" s="458" t="s">
        <v>327</v>
      </c>
      <c r="D127" s="449">
        <v>37533</v>
      </c>
      <c r="E127" s="450" t="s">
        <v>322</v>
      </c>
      <c r="F127" s="467">
        <v>2.8</v>
      </c>
      <c r="G127" s="467" t="s">
        <v>321</v>
      </c>
      <c r="H127" s="468" t="s">
        <v>322</v>
      </c>
      <c r="I127" s="450" t="s">
        <v>322</v>
      </c>
      <c r="J127" s="450" t="s">
        <v>322</v>
      </c>
      <c r="K127" s="469">
        <v>6</v>
      </c>
      <c r="L127" s="470" t="s">
        <v>322</v>
      </c>
      <c r="M127" s="509"/>
    </row>
    <row r="128" spans="1:13" ht="12.75">
      <c r="A128" s="466" t="s">
        <v>318</v>
      </c>
      <c r="B128" s="450" t="s">
        <v>323</v>
      </c>
      <c r="C128" s="458" t="s">
        <v>327</v>
      </c>
      <c r="D128" s="449">
        <v>37567</v>
      </c>
      <c r="E128" s="450" t="s">
        <v>322</v>
      </c>
      <c r="F128" s="467">
        <v>4.3</v>
      </c>
      <c r="G128" s="467" t="s">
        <v>321</v>
      </c>
      <c r="H128" s="468" t="s">
        <v>322</v>
      </c>
      <c r="I128" s="450" t="s">
        <v>322</v>
      </c>
      <c r="J128" s="450" t="s">
        <v>322</v>
      </c>
      <c r="K128" s="469">
        <v>6</v>
      </c>
      <c r="L128" s="470" t="s">
        <v>322</v>
      </c>
      <c r="M128" s="509"/>
    </row>
    <row r="129" spans="1:13" ht="12.75">
      <c r="A129" s="466" t="s">
        <v>318</v>
      </c>
      <c r="B129" s="450" t="s">
        <v>323</v>
      </c>
      <c r="C129" s="458" t="s">
        <v>327</v>
      </c>
      <c r="D129" s="449">
        <v>37602</v>
      </c>
      <c r="E129" s="450" t="s">
        <v>322</v>
      </c>
      <c r="F129" s="467">
        <v>4</v>
      </c>
      <c r="G129" s="467" t="s">
        <v>321</v>
      </c>
      <c r="H129" s="468" t="s">
        <v>322</v>
      </c>
      <c r="I129" s="450" t="s">
        <v>322</v>
      </c>
      <c r="J129" s="450" t="s">
        <v>322</v>
      </c>
      <c r="K129" s="469">
        <v>6</v>
      </c>
      <c r="L129" s="470" t="s">
        <v>322</v>
      </c>
      <c r="M129" s="509"/>
    </row>
    <row r="130" spans="1:13" ht="12.75">
      <c r="A130" s="466" t="s">
        <v>318</v>
      </c>
      <c r="B130" s="450" t="s">
        <v>323</v>
      </c>
      <c r="C130" s="458" t="s">
        <v>327</v>
      </c>
      <c r="D130" s="449">
        <v>37631</v>
      </c>
      <c r="E130" s="450" t="s">
        <v>322</v>
      </c>
      <c r="F130" s="467">
        <v>4.4</v>
      </c>
      <c r="G130" s="467" t="s">
        <v>321</v>
      </c>
      <c r="H130" s="468" t="s">
        <v>322</v>
      </c>
      <c r="I130" s="450" t="s">
        <v>322</v>
      </c>
      <c r="J130" s="450" t="s">
        <v>322</v>
      </c>
      <c r="K130" s="469">
        <v>6</v>
      </c>
      <c r="L130" s="470" t="s">
        <v>322</v>
      </c>
      <c r="M130" s="509"/>
    </row>
    <row r="131" spans="1:13" ht="12.75">
      <c r="A131" s="466" t="s">
        <v>318</v>
      </c>
      <c r="B131" s="450" t="s">
        <v>323</v>
      </c>
      <c r="C131" s="458" t="s">
        <v>327</v>
      </c>
      <c r="D131" s="449">
        <v>37663</v>
      </c>
      <c r="E131" s="450" t="s">
        <v>322</v>
      </c>
      <c r="F131" s="467">
        <v>5.4</v>
      </c>
      <c r="G131" s="467" t="s">
        <v>321</v>
      </c>
      <c r="H131" s="468" t="s">
        <v>322</v>
      </c>
      <c r="I131" s="450" t="s">
        <v>322</v>
      </c>
      <c r="J131" s="450" t="s">
        <v>322</v>
      </c>
      <c r="K131" s="469">
        <v>6</v>
      </c>
      <c r="L131" s="470" t="s">
        <v>322</v>
      </c>
      <c r="M131" s="509"/>
    </row>
    <row r="132" spans="1:13" ht="12.75">
      <c r="A132" s="466" t="s">
        <v>318</v>
      </c>
      <c r="B132" s="450" t="s">
        <v>323</v>
      </c>
      <c r="C132" s="458" t="s">
        <v>327</v>
      </c>
      <c r="D132" s="449">
        <v>37777</v>
      </c>
      <c r="E132" s="450" t="s">
        <v>322</v>
      </c>
      <c r="F132" s="467">
        <v>5</v>
      </c>
      <c r="G132" s="467" t="s">
        <v>321</v>
      </c>
      <c r="H132" s="468" t="s">
        <v>322</v>
      </c>
      <c r="I132" s="450" t="s">
        <v>322</v>
      </c>
      <c r="J132" s="450" t="s">
        <v>322</v>
      </c>
      <c r="K132" s="469">
        <v>6</v>
      </c>
      <c r="L132" s="470" t="s">
        <v>322</v>
      </c>
      <c r="M132" s="509"/>
    </row>
    <row r="133" spans="1:13" ht="12.75">
      <c r="A133" s="466" t="s">
        <v>318</v>
      </c>
      <c r="B133" s="450" t="s">
        <v>323</v>
      </c>
      <c r="C133" s="458" t="s">
        <v>327</v>
      </c>
      <c r="D133" s="449">
        <v>37782</v>
      </c>
      <c r="E133" s="450" t="s">
        <v>322</v>
      </c>
      <c r="F133" s="467">
        <v>4.4</v>
      </c>
      <c r="G133" s="467" t="s">
        <v>321</v>
      </c>
      <c r="H133" s="468" t="s">
        <v>322</v>
      </c>
      <c r="I133" s="450" t="s">
        <v>322</v>
      </c>
      <c r="J133" s="450" t="s">
        <v>322</v>
      </c>
      <c r="K133" s="469">
        <v>6</v>
      </c>
      <c r="L133" s="470" t="s">
        <v>322</v>
      </c>
      <c r="M133" s="509"/>
    </row>
    <row r="134" spans="1:13" ht="12.75">
      <c r="A134" s="466" t="s">
        <v>318</v>
      </c>
      <c r="B134" s="450" t="s">
        <v>323</v>
      </c>
      <c r="C134" s="458" t="s">
        <v>327</v>
      </c>
      <c r="D134" s="449">
        <v>37838</v>
      </c>
      <c r="E134" s="450" t="s">
        <v>322</v>
      </c>
      <c r="F134" s="467">
        <v>3.7</v>
      </c>
      <c r="G134" s="467" t="s">
        <v>321</v>
      </c>
      <c r="H134" s="468" t="s">
        <v>322</v>
      </c>
      <c r="I134" s="450" t="s">
        <v>322</v>
      </c>
      <c r="J134" s="450" t="s">
        <v>322</v>
      </c>
      <c r="K134" s="469">
        <v>6</v>
      </c>
      <c r="L134" s="470" t="s">
        <v>322</v>
      </c>
      <c r="M134" s="509"/>
    </row>
    <row r="135" spans="1:13" ht="12.75">
      <c r="A135" s="466" t="s">
        <v>318</v>
      </c>
      <c r="B135" s="450" t="s">
        <v>323</v>
      </c>
      <c r="C135" s="458" t="s">
        <v>327</v>
      </c>
      <c r="D135" s="449">
        <v>37868</v>
      </c>
      <c r="E135" s="450" t="s">
        <v>322</v>
      </c>
      <c r="F135" s="467">
        <v>4.8</v>
      </c>
      <c r="G135" s="467" t="s">
        <v>321</v>
      </c>
      <c r="H135" s="468" t="s">
        <v>322</v>
      </c>
      <c r="I135" s="450" t="s">
        <v>322</v>
      </c>
      <c r="J135" s="450" t="s">
        <v>322</v>
      </c>
      <c r="K135" s="469">
        <v>6</v>
      </c>
      <c r="L135" s="470" t="s">
        <v>322</v>
      </c>
      <c r="M135" s="509"/>
    </row>
    <row r="136" spans="1:13" ht="12.75">
      <c r="A136" s="466" t="s">
        <v>318</v>
      </c>
      <c r="B136" s="450" t="s">
        <v>323</v>
      </c>
      <c r="C136" s="458" t="s">
        <v>327</v>
      </c>
      <c r="D136" s="449">
        <v>37874</v>
      </c>
      <c r="E136" s="450" t="s">
        <v>322</v>
      </c>
      <c r="F136" s="467">
        <v>3.9</v>
      </c>
      <c r="G136" s="467" t="s">
        <v>321</v>
      </c>
      <c r="H136" s="468" t="s">
        <v>322</v>
      </c>
      <c r="I136" s="450" t="s">
        <v>322</v>
      </c>
      <c r="J136" s="450" t="s">
        <v>322</v>
      </c>
      <c r="K136" s="469">
        <v>6</v>
      </c>
      <c r="L136" s="470" t="s">
        <v>322</v>
      </c>
      <c r="M136" s="509"/>
    </row>
    <row r="137" spans="1:13" ht="12.75">
      <c r="A137" s="466" t="s">
        <v>318</v>
      </c>
      <c r="B137" s="450" t="s">
        <v>323</v>
      </c>
      <c r="C137" s="458" t="s">
        <v>327</v>
      </c>
      <c r="D137" s="449">
        <v>37993</v>
      </c>
      <c r="E137" s="450" t="s">
        <v>322</v>
      </c>
      <c r="F137" s="467">
        <v>4.2</v>
      </c>
      <c r="G137" s="467" t="s">
        <v>321</v>
      </c>
      <c r="H137" s="468" t="s">
        <v>322</v>
      </c>
      <c r="I137" s="450" t="s">
        <v>322</v>
      </c>
      <c r="J137" s="450" t="s">
        <v>322</v>
      </c>
      <c r="K137" s="469">
        <v>6</v>
      </c>
      <c r="L137" s="470" t="s">
        <v>322</v>
      </c>
      <c r="M137" s="509"/>
    </row>
    <row r="138" spans="1:13" ht="12.75">
      <c r="A138" s="466" t="s">
        <v>318</v>
      </c>
      <c r="B138" s="450" t="s">
        <v>323</v>
      </c>
      <c r="C138" s="458" t="s">
        <v>327</v>
      </c>
      <c r="D138" s="449">
        <v>38020</v>
      </c>
      <c r="E138" s="450" t="s">
        <v>322</v>
      </c>
      <c r="F138" s="467">
        <v>4.5</v>
      </c>
      <c r="G138" s="467" t="s">
        <v>321</v>
      </c>
      <c r="H138" s="468" t="s">
        <v>322</v>
      </c>
      <c r="I138" s="450" t="s">
        <v>322</v>
      </c>
      <c r="J138" s="450" t="s">
        <v>322</v>
      </c>
      <c r="K138" s="469">
        <v>6</v>
      </c>
      <c r="L138" s="470" t="s">
        <v>322</v>
      </c>
      <c r="M138" s="509"/>
    </row>
    <row r="139" spans="1:13" ht="12.75">
      <c r="A139" s="466" t="s">
        <v>318</v>
      </c>
      <c r="B139" s="450" t="s">
        <v>323</v>
      </c>
      <c r="C139" s="458" t="s">
        <v>327</v>
      </c>
      <c r="D139" s="449">
        <v>38050</v>
      </c>
      <c r="E139" s="450" t="s">
        <v>322</v>
      </c>
      <c r="F139" s="467">
        <v>2.6</v>
      </c>
      <c r="G139" s="467" t="s">
        <v>321</v>
      </c>
      <c r="H139" s="468" t="s">
        <v>322</v>
      </c>
      <c r="I139" s="450" t="s">
        <v>322</v>
      </c>
      <c r="J139" s="450" t="s">
        <v>322</v>
      </c>
      <c r="K139" s="469">
        <v>6</v>
      </c>
      <c r="L139" s="470" t="s">
        <v>322</v>
      </c>
      <c r="M139" s="509"/>
    </row>
    <row r="140" spans="1:13" ht="12.75">
      <c r="A140" s="466" t="s">
        <v>318</v>
      </c>
      <c r="B140" s="450" t="s">
        <v>323</v>
      </c>
      <c r="C140" s="458" t="s">
        <v>327</v>
      </c>
      <c r="D140" s="449">
        <v>38084</v>
      </c>
      <c r="E140" s="450" t="s">
        <v>322</v>
      </c>
      <c r="F140" s="467">
        <v>3.5</v>
      </c>
      <c r="G140" s="467" t="s">
        <v>321</v>
      </c>
      <c r="H140" s="468" t="s">
        <v>322</v>
      </c>
      <c r="I140" s="450" t="s">
        <v>322</v>
      </c>
      <c r="J140" s="450" t="s">
        <v>322</v>
      </c>
      <c r="K140" s="469">
        <v>6</v>
      </c>
      <c r="L140" s="470" t="s">
        <v>322</v>
      </c>
      <c r="M140" s="509"/>
    </row>
    <row r="141" spans="1:13" ht="12.75">
      <c r="A141" s="466" t="s">
        <v>318</v>
      </c>
      <c r="B141" s="450" t="s">
        <v>323</v>
      </c>
      <c r="C141" s="458" t="s">
        <v>327</v>
      </c>
      <c r="D141" s="449">
        <v>38139</v>
      </c>
      <c r="E141" s="450" t="s">
        <v>322</v>
      </c>
      <c r="F141" s="467">
        <v>4.4</v>
      </c>
      <c r="G141" s="467" t="s">
        <v>321</v>
      </c>
      <c r="H141" s="468" t="s">
        <v>322</v>
      </c>
      <c r="I141" s="450" t="s">
        <v>322</v>
      </c>
      <c r="J141" s="450" t="s">
        <v>322</v>
      </c>
      <c r="K141" s="469">
        <v>6</v>
      </c>
      <c r="L141" s="470" t="s">
        <v>322</v>
      </c>
      <c r="M141" s="509"/>
    </row>
    <row r="142" spans="1:13" ht="12.75">
      <c r="A142" s="466" t="s">
        <v>318</v>
      </c>
      <c r="B142" s="450" t="s">
        <v>323</v>
      </c>
      <c r="C142" s="458" t="s">
        <v>327</v>
      </c>
      <c r="D142" s="449">
        <v>38203</v>
      </c>
      <c r="E142" s="450" t="s">
        <v>322</v>
      </c>
      <c r="F142" s="467">
        <v>2.8</v>
      </c>
      <c r="G142" s="467" t="s">
        <v>321</v>
      </c>
      <c r="H142" s="468" t="s">
        <v>322</v>
      </c>
      <c r="I142" s="450" t="s">
        <v>322</v>
      </c>
      <c r="J142" s="450" t="s">
        <v>322</v>
      </c>
      <c r="K142" s="469">
        <v>6</v>
      </c>
      <c r="L142" s="470" t="s">
        <v>322</v>
      </c>
      <c r="M142" s="509"/>
    </row>
    <row r="143" spans="1:13" ht="12.75">
      <c r="A143" s="466" t="s">
        <v>318</v>
      </c>
      <c r="B143" s="450" t="s">
        <v>323</v>
      </c>
      <c r="C143" s="458" t="s">
        <v>327</v>
      </c>
      <c r="D143" s="449">
        <v>38231</v>
      </c>
      <c r="E143" s="450" t="s">
        <v>322</v>
      </c>
      <c r="F143" s="467">
        <v>2.4</v>
      </c>
      <c r="G143" s="467" t="s">
        <v>321</v>
      </c>
      <c r="H143" s="468" t="s">
        <v>322</v>
      </c>
      <c r="I143" s="450" t="s">
        <v>322</v>
      </c>
      <c r="J143" s="450" t="s">
        <v>322</v>
      </c>
      <c r="K143" s="469">
        <v>6</v>
      </c>
      <c r="L143" s="470" t="s">
        <v>322</v>
      </c>
      <c r="M143" s="509"/>
    </row>
    <row r="144" spans="1:13" ht="12.75">
      <c r="A144" s="466" t="s">
        <v>318</v>
      </c>
      <c r="B144" s="450" t="s">
        <v>323</v>
      </c>
      <c r="C144" s="458" t="s">
        <v>327</v>
      </c>
      <c r="D144" s="449">
        <v>38273</v>
      </c>
      <c r="E144" s="450" t="s">
        <v>322</v>
      </c>
      <c r="F144" s="467">
        <v>3.4</v>
      </c>
      <c r="G144" s="467" t="s">
        <v>321</v>
      </c>
      <c r="H144" s="468" t="s">
        <v>322</v>
      </c>
      <c r="I144" s="450" t="s">
        <v>322</v>
      </c>
      <c r="J144" s="450" t="s">
        <v>322</v>
      </c>
      <c r="K144" s="469">
        <v>6</v>
      </c>
      <c r="L144" s="470" t="s">
        <v>322</v>
      </c>
      <c r="M144" s="509"/>
    </row>
    <row r="145" spans="1:13" ht="12.75">
      <c r="A145" s="466" t="s">
        <v>318</v>
      </c>
      <c r="B145" s="450" t="s">
        <v>323</v>
      </c>
      <c r="C145" s="458" t="s">
        <v>327</v>
      </c>
      <c r="D145" s="449">
        <v>38293</v>
      </c>
      <c r="E145" s="450" t="s">
        <v>322</v>
      </c>
      <c r="F145" s="467">
        <v>4.9</v>
      </c>
      <c r="G145" s="467" t="s">
        <v>321</v>
      </c>
      <c r="H145" s="468" t="s">
        <v>322</v>
      </c>
      <c r="I145" s="450" t="s">
        <v>322</v>
      </c>
      <c r="J145" s="450" t="s">
        <v>322</v>
      </c>
      <c r="K145" s="469">
        <v>6</v>
      </c>
      <c r="L145" s="470" t="s">
        <v>322</v>
      </c>
      <c r="M145" s="509"/>
    </row>
    <row r="146" spans="1:13" ht="12.75">
      <c r="A146" s="466" t="s">
        <v>318</v>
      </c>
      <c r="B146" s="450" t="s">
        <v>323</v>
      </c>
      <c r="C146" s="458" t="s">
        <v>327</v>
      </c>
      <c r="D146" s="449">
        <v>38322</v>
      </c>
      <c r="E146" s="450" t="s">
        <v>322</v>
      </c>
      <c r="F146" s="467">
        <v>6.5</v>
      </c>
      <c r="G146" s="467" t="s">
        <v>321</v>
      </c>
      <c r="H146" s="468" t="s">
        <v>322</v>
      </c>
      <c r="I146" s="450" t="s">
        <v>322</v>
      </c>
      <c r="J146" s="450" t="s">
        <v>322</v>
      </c>
      <c r="K146" s="469">
        <v>6</v>
      </c>
      <c r="L146" s="470" t="s">
        <v>322</v>
      </c>
      <c r="M146" s="509"/>
    </row>
    <row r="147" spans="1:13" ht="12.75">
      <c r="A147" s="466" t="s">
        <v>318</v>
      </c>
      <c r="B147" s="450" t="s">
        <v>323</v>
      </c>
      <c r="C147" s="458" t="s">
        <v>327</v>
      </c>
      <c r="D147" s="449">
        <v>38358</v>
      </c>
      <c r="E147" s="450" t="s">
        <v>322</v>
      </c>
      <c r="F147" s="467">
        <v>4.5</v>
      </c>
      <c r="G147" s="467" t="s">
        <v>321</v>
      </c>
      <c r="H147" s="468" t="s">
        <v>322</v>
      </c>
      <c r="I147" s="450" t="s">
        <v>322</v>
      </c>
      <c r="J147" s="450" t="s">
        <v>322</v>
      </c>
      <c r="K147" s="469">
        <v>6</v>
      </c>
      <c r="L147" s="470" t="s">
        <v>322</v>
      </c>
      <c r="M147" s="509"/>
    </row>
    <row r="148" spans="1:13" ht="12.75">
      <c r="A148" s="466" t="s">
        <v>318</v>
      </c>
      <c r="B148" s="450" t="s">
        <v>323</v>
      </c>
      <c r="C148" s="458" t="s">
        <v>327</v>
      </c>
      <c r="D148" s="449">
        <v>38386</v>
      </c>
      <c r="E148" s="450" t="s">
        <v>322</v>
      </c>
      <c r="F148" s="467">
        <v>4.5</v>
      </c>
      <c r="G148" s="467" t="s">
        <v>321</v>
      </c>
      <c r="H148" s="468" t="s">
        <v>322</v>
      </c>
      <c r="I148" s="450" t="s">
        <v>322</v>
      </c>
      <c r="J148" s="450" t="s">
        <v>322</v>
      </c>
      <c r="K148" s="469">
        <v>6</v>
      </c>
      <c r="L148" s="470" t="s">
        <v>322</v>
      </c>
      <c r="M148" s="509"/>
    </row>
    <row r="149" spans="1:13" ht="12.75">
      <c r="A149" s="466" t="s">
        <v>318</v>
      </c>
      <c r="B149" s="450" t="s">
        <v>323</v>
      </c>
      <c r="C149" s="458" t="s">
        <v>327</v>
      </c>
      <c r="D149" s="449">
        <v>38413</v>
      </c>
      <c r="E149" s="450" t="s">
        <v>322</v>
      </c>
      <c r="F149" s="467">
        <v>3.3</v>
      </c>
      <c r="G149" s="467" t="s">
        <v>321</v>
      </c>
      <c r="H149" s="468" t="s">
        <v>322</v>
      </c>
      <c r="I149" s="450" t="s">
        <v>322</v>
      </c>
      <c r="J149" s="450" t="s">
        <v>322</v>
      </c>
      <c r="K149" s="469">
        <v>6</v>
      </c>
      <c r="L149" s="470" t="s">
        <v>322</v>
      </c>
      <c r="M149" s="509"/>
    </row>
    <row r="150" spans="1:13" ht="12.75">
      <c r="A150" s="466" t="s">
        <v>318</v>
      </c>
      <c r="B150" s="450" t="s">
        <v>323</v>
      </c>
      <c r="C150" s="458" t="s">
        <v>327</v>
      </c>
      <c r="D150" s="449">
        <v>38450</v>
      </c>
      <c r="E150" s="450" t="s">
        <v>322</v>
      </c>
      <c r="F150" s="467">
        <v>4.1</v>
      </c>
      <c r="G150" s="467" t="s">
        <v>321</v>
      </c>
      <c r="H150" s="468" t="s">
        <v>322</v>
      </c>
      <c r="I150" s="450" t="s">
        <v>322</v>
      </c>
      <c r="J150" s="450" t="s">
        <v>322</v>
      </c>
      <c r="K150" s="469">
        <v>6</v>
      </c>
      <c r="L150" s="470" t="s">
        <v>322</v>
      </c>
      <c r="M150" s="509"/>
    </row>
    <row r="151" spans="1:13" ht="12.75">
      <c r="A151" s="466" t="s">
        <v>318</v>
      </c>
      <c r="B151" s="450" t="s">
        <v>323</v>
      </c>
      <c r="C151" s="458" t="s">
        <v>327</v>
      </c>
      <c r="D151" s="449">
        <v>38477</v>
      </c>
      <c r="E151" s="450" t="s">
        <v>322</v>
      </c>
      <c r="F151" s="467">
        <v>3.6</v>
      </c>
      <c r="G151" s="467" t="s">
        <v>321</v>
      </c>
      <c r="H151" s="468" t="s">
        <v>322</v>
      </c>
      <c r="I151" s="450" t="s">
        <v>322</v>
      </c>
      <c r="J151" s="450" t="s">
        <v>322</v>
      </c>
      <c r="K151" s="469">
        <v>6</v>
      </c>
      <c r="L151" s="470" t="s">
        <v>322</v>
      </c>
      <c r="M151" s="509"/>
    </row>
    <row r="152" spans="1:13" ht="12.75">
      <c r="A152" s="466" t="s">
        <v>318</v>
      </c>
      <c r="B152" s="450" t="s">
        <v>323</v>
      </c>
      <c r="C152" s="458" t="s">
        <v>327</v>
      </c>
      <c r="D152" s="449">
        <v>38505</v>
      </c>
      <c r="E152" s="450" t="s">
        <v>322</v>
      </c>
      <c r="F152" s="467">
        <v>3.7</v>
      </c>
      <c r="G152" s="467" t="s">
        <v>321</v>
      </c>
      <c r="H152" s="468" t="s">
        <v>322</v>
      </c>
      <c r="I152" s="450" t="s">
        <v>322</v>
      </c>
      <c r="J152" s="450" t="s">
        <v>322</v>
      </c>
      <c r="K152" s="469">
        <v>6</v>
      </c>
      <c r="L152" s="470" t="s">
        <v>322</v>
      </c>
      <c r="M152" s="509"/>
    </row>
    <row r="153" spans="1:13" ht="12.75">
      <c r="A153" s="466" t="s">
        <v>318</v>
      </c>
      <c r="B153" s="450" t="s">
        <v>323</v>
      </c>
      <c r="C153" s="458" t="s">
        <v>327</v>
      </c>
      <c r="D153" s="449">
        <v>38539</v>
      </c>
      <c r="E153" s="450" t="s">
        <v>322</v>
      </c>
      <c r="F153" s="467">
        <v>3.7</v>
      </c>
      <c r="G153" s="467" t="s">
        <v>321</v>
      </c>
      <c r="H153" s="468" t="s">
        <v>322</v>
      </c>
      <c r="I153" s="450" t="s">
        <v>322</v>
      </c>
      <c r="J153" s="450" t="s">
        <v>322</v>
      </c>
      <c r="K153" s="469">
        <v>6</v>
      </c>
      <c r="L153" s="470" t="s">
        <v>322</v>
      </c>
      <c r="M153" s="509"/>
    </row>
    <row r="154" spans="1:13" ht="12.75">
      <c r="A154" s="466" t="s">
        <v>318</v>
      </c>
      <c r="B154" s="450" t="s">
        <v>323</v>
      </c>
      <c r="C154" s="458" t="s">
        <v>327</v>
      </c>
      <c r="D154" s="449">
        <v>38567</v>
      </c>
      <c r="E154" s="450" t="s">
        <v>322</v>
      </c>
      <c r="F154" s="467">
        <v>4.3</v>
      </c>
      <c r="G154" s="467" t="s">
        <v>321</v>
      </c>
      <c r="H154" s="468" t="s">
        <v>322</v>
      </c>
      <c r="I154" s="450" t="s">
        <v>322</v>
      </c>
      <c r="J154" s="450" t="s">
        <v>322</v>
      </c>
      <c r="K154" s="469">
        <v>6</v>
      </c>
      <c r="L154" s="470" t="s">
        <v>322</v>
      </c>
      <c r="M154" s="509"/>
    </row>
    <row r="155" spans="1:13" ht="12.75">
      <c r="A155" s="466" t="s">
        <v>318</v>
      </c>
      <c r="B155" s="450" t="s">
        <v>323</v>
      </c>
      <c r="C155" s="458" t="s">
        <v>327</v>
      </c>
      <c r="D155" s="449">
        <v>38638</v>
      </c>
      <c r="E155" s="450" t="s">
        <v>322</v>
      </c>
      <c r="F155" s="467">
        <v>3.2</v>
      </c>
      <c r="G155" s="467" t="s">
        <v>321</v>
      </c>
      <c r="H155" s="468" t="s">
        <v>322</v>
      </c>
      <c r="I155" s="450" t="s">
        <v>322</v>
      </c>
      <c r="J155" s="450" t="s">
        <v>322</v>
      </c>
      <c r="K155" s="469">
        <v>6</v>
      </c>
      <c r="L155" s="470" t="s">
        <v>322</v>
      </c>
      <c r="M155" s="509"/>
    </row>
    <row r="156" spans="1:13" ht="12.75">
      <c r="A156" s="466" t="s">
        <v>318</v>
      </c>
      <c r="B156" s="450" t="s">
        <v>323</v>
      </c>
      <c r="C156" s="458" t="s">
        <v>327</v>
      </c>
      <c r="D156" s="449">
        <v>38657</v>
      </c>
      <c r="E156" s="450" t="s">
        <v>322</v>
      </c>
      <c r="F156" s="467">
        <v>4.3</v>
      </c>
      <c r="G156" s="467" t="s">
        <v>321</v>
      </c>
      <c r="H156" s="468" t="s">
        <v>322</v>
      </c>
      <c r="I156" s="450" t="s">
        <v>322</v>
      </c>
      <c r="J156" s="450" t="s">
        <v>322</v>
      </c>
      <c r="K156" s="469">
        <v>6</v>
      </c>
      <c r="L156" s="470" t="s">
        <v>322</v>
      </c>
      <c r="M156" s="509"/>
    </row>
    <row r="157" spans="1:13" ht="12.75">
      <c r="A157" s="466" t="s">
        <v>318</v>
      </c>
      <c r="B157" s="450" t="s">
        <v>323</v>
      </c>
      <c r="C157" s="458" t="s">
        <v>327</v>
      </c>
      <c r="D157" s="449">
        <v>38693</v>
      </c>
      <c r="E157" s="450" t="s">
        <v>322</v>
      </c>
      <c r="F157" s="467">
        <v>3.2</v>
      </c>
      <c r="G157" s="467" t="s">
        <v>321</v>
      </c>
      <c r="H157" s="468" t="s">
        <v>322</v>
      </c>
      <c r="I157" s="450" t="s">
        <v>322</v>
      </c>
      <c r="J157" s="450" t="s">
        <v>322</v>
      </c>
      <c r="K157" s="469">
        <v>6</v>
      </c>
      <c r="L157" s="470" t="s">
        <v>322</v>
      </c>
      <c r="M157" s="509"/>
    </row>
    <row r="158" spans="1:13" ht="12.75">
      <c r="A158" s="466" t="s">
        <v>318</v>
      </c>
      <c r="B158" s="450" t="s">
        <v>323</v>
      </c>
      <c r="C158" s="458" t="s">
        <v>327</v>
      </c>
      <c r="D158" s="449">
        <v>38722</v>
      </c>
      <c r="E158" s="450" t="s">
        <v>322</v>
      </c>
      <c r="F158" s="467">
        <v>4</v>
      </c>
      <c r="G158" s="467" t="s">
        <v>321</v>
      </c>
      <c r="H158" s="468" t="s">
        <v>322</v>
      </c>
      <c r="I158" s="450" t="s">
        <v>322</v>
      </c>
      <c r="J158" s="450" t="s">
        <v>322</v>
      </c>
      <c r="K158" s="469">
        <v>6</v>
      </c>
      <c r="L158" s="470" t="s">
        <v>322</v>
      </c>
      <c r="M158" s="509"/>
    </row>
    <row r="159" spans="1:13" ht="12.75">
      <c r="A159" s="466" t="s">
        <v>318</v>
      </c>
      <c r="B159" s="450" t="s">
        <v>323</v>
      </c>
      <c r="C159" s="458" t="s">
        <v>327</v>
      </c>
      <c r="D159" s="449">
        <v>38750</v>
      </c>
      <c r="E159" s="450" t="s">
        <v>322</v>
      </c>
      <c r="F159" s="467">
        <v>3.5</v>
      </c>
      <c r="G159" s="467" t="s">
        <v>321</v>
      </c>
      <c r="H159" s="468" t="s">
        <v>322</v>
      </c>
      <c r="I159" s="450" t="s">
        <v>322</v>
      </c>
      <c r="J159" s="450" t="s">
        <v>322</v>
      </c>
      <c r="K159" s="469">
        <v>6</v>
      </c>
      <c r="L159" s="470" t="s">
        <v>322</v>
      </c>
      <c r="M159" s="509"/>
    </row>
    <row r="160" spans="1:13" ht="12.75">
      <c r="A160" s="466" t="s">
        <v>318</v>
      </c>
      <c r="B160" s="450" t="s">
        <v>323</v>
      </c>
      <c r="C160" s="458" t="s">
        <v>328</v>
      </c>
      <c r="D160" s="449">
        <v>36591</v>
      </c>
      <c r="E160" s="450" t="s">
        <v>245</v>
      </c>
      <c r="F160" s="467">
        <v>3</v>
      </c>
      <c r="G160" s="467" t="s">
        <v>321</v>
      </c>
      <c r="H160" s="468" t="s">
        <v>322</v>
      </c>
      <c r="I160" s="450" t="s">
        <v>322</v>
      </c>
      <c r="J160" s="450" t="s">
        <v>322</v>
      </c>
      <c r="K160" s="469">
        <v>7</v>
      </c>
      <c r="L160" s="470" t="s">
        <v>322</v>
      </c>
      <c r="M160" s="509"/>
    </row>
    <row r="161" spans="1:13" ht="12.75">
      <c r="A161" s="466" t="s">
        <v>318</v>
      </c>
      <c r="B161" s="450" t="s">
        <v>323</v>
      </c>
      <c r="C161" s="458" t="s">
        <v>328</v>
      </c>
      <c r="D161" s="449">
        <v>36682</v>
      </c>
      <c r="E161" s="450" t="s">
        <v>245</v>
      </c>
      <c r="F161" s="467">
        <v>3</v>
      </c>
      <c r="G161" s="467" t="s">
        <v>321</v>
      </c>
      <c r="H161" s="468" t="s">
        <v>322</v>
      </c>
      <c r="I161" s="450" t="s">
        <v>322</v>
      </c>
      <c r="J161" s="450" t="s">
        <v>322</v>
      </c>
      <c r="K161" s="469">
        <v>7</v>
      </c>
      <c r="L161" s="470" t="s">
        <v>322</v>
      </c>
      <c r="M161" s="509"/>
    </row>
    <row r="162" spans="1:13" ht="12.75">
      <c r="A162" s="466" t="s">
        <v>318</v>
      </c>
      <c r="B162" s="450" t="s">
        <v>323</v>
      </c>
      <c r="C162" s="458" t="s">
        <v>328</v>
      </c>
      <c r="D162" s="449">
        <v>36775</v>
      </c>
      <c r="E162" s="450" t="s">
        <v>245</v>
      </c>
      <c r="F162" s="467">
        <v>3</v>
      </c>
      <c r="G162" s="467" t="s">
        <v>321</v>
      </c>
      <c r="H162" s="468" t="s">
        <v>322</v>
      </c>
      <c r="I162" s="450" t="s">
        <v>322</v>
      </c>
      <c r="J162" s="450" t="s">
        <v>322</v>
      </c>
      <c r="K162" s="469">
        <v>7</v>
      </c>
      <c r="L162" s="470" t="s">
        <v>322</v>
      </c>
      <c r="M162" s="509"/>
    </row>
    <row r="163" spans="1:13" ht="12.75">
      <c r="A163" s="466" t="s">
        <v>318</v>
      </c>
      <c r="B163" s="450" t="s">
        <v>323</v>
      </c>
      <c r="C163" s="458" t="s">
        <v>328</v>
      </c>
      <c r="D163" s="449">
        <v>36865</v>
      </c>
      <c r="E163" s="450" t="s">
        <v>245</v>
      </c>
      <c r="F163" s="467">
        <v>2</v>
      </c>
      <c r="G163" s="467" t="s">
        <v>321</v>
      </c>
      <c r="H163" s="468" t="s">
        <v>322</v>
      </c>
      <c r="I163" s="450" t="s">
        <v>322</v>
      </c>
      <c r="J163" s="450" t="s">
        <v>322</v>
      </c>
      <c r="K163" s="469">
        <v>7</v>
      </c>
      <c r="L163" s="470" t="s">
        <v>322</v>
      </c>
      <c r="M163" s="509"/>
    </row>
    <row r="164" spans="1:13" ht="12.75">
      <c r="A164" s="466" t="s">
        <v>318</v>
      </c>
      <c r="B164" s="450" t="s">
        <v>323</v>
      </c>
      <c r="C164" s="458" t="s">
        <v>328</v>
      </c>
      <c r="D164" s="449">
        <v>36957</v>
      </c>
      <c r="E164" s="450" t="s">
        <v>245</v>
      </c>
      <c r="F164" s="467">
        <v>2</v>
      </c>
      <c r="G164" s="467" t="s">
        <v>321</v>
      </c>
      <c r="H164" s="468" t="s">
        <v>322</v>
      </c>
      <c r="I164" s="450" t="s">
        <v>322</v>
      </c>
      <c r="J164" s="450" t="s">
        <v>322</v>
      </c>
      <c r="K164" s="469">
        <v>7</v>
      </c>
      <c r="L164" s="470" t="s">
        <v>322</v>
      </c>
      <c r="M164" s="509"/>
    </row>
    <row r="165" spans="1:13" ht="12.75">
      <c r="A165" s="466" t="s">
        <v>318</v>
      </c>
      <c r="B165" s="450" t="s">
        <v>323</v>
      </c>
      <c r="C165" s="458" t="s">
        <v>328</v>
      </c>
      <c r="D165" s="449">
        <v>37050</v>
      </c>
      <c r="E165" s="450" t="s">
        <v>245</v>
      </c>
      <c r="F165" s="467">
        <v>0.25</v>
      </c>
      <c r="G165" s="467" t="s">
        <v>321</v>
      </c>
      <c r="H165" s="468" t="s">
        <v>322</v>
      </c>
      <c r="I165" s="450" t="s">
        <v>322</v>
      </c>
      <c r="J165" s="450" t="s">
        <v>322</v>
      </c>
      <c r="K165" s="469">
        <v>7</v>
      </c>
      <c r="L165" s="470" t="s">
        <v>322</v>
      </c>
      <c r="M165" s="509"/>
    </row>
    <row r="166" spans="1:13" ht="12.75">
      <c r="A166" s="466" t="s">
        <v>318</v>
      </c>
      <c r="B166" s="450" t="s">
        <v>323</v>
      </c>
      <c r="C166" s="458" t="s">
        <v>328</v>
      </c>
      <c r="D166" s="449">
        <v>37139</v>
      </c>
      <c r="E166" s="450" t="s">
        <v>322</v>
      </c>
      <c r="F166" s="467">
        <v>0.35</v>
      </c>
      <c r="G166" s="467" t="s">
        <v>321</v>
      </c>
      <c r="H166" s="468" t="s">
        <v>322</v>
      </c>
      <c r="I166" s="450" t="s">
        <v>322</v>
      </c>
      <c r="J166" s="450" t="s">
        <v>322</v>
      </c>
      <c r="K166" s="469">
        <v>7</v>
      </c>
      <c r="L166" s="470" t="s">
        <v>322</v>
      </c>
      <c r="M166" s="509"/>
    </row>
    <row r="167" spans="1:13" ht="12.75">
      <c r="A167" s="466" t="s">
        <v>318</v>
      </c>
      <c r="B167" s="450" t="s">
        <v>323</v>
      </c>
      <c r="C167" s="458" t="s">
        <v>328</v>
      </c>
      <c r="D167" s="449">
        <v>37231</v>
      </c>
      <c r="E167" s="450" t="s">
        <v>322</v>
      </c>
      <c r="F167" s="467">
        <v>0.32</v>
      </c>
      <c r="G167" s="467" t="s">
        <v>321</v>
      </c>
      <c r="H167" s="468" t="s">
        <v>322</v>
      </c>
      <c r="I167" s="450" t="s">
        <v>322</v>
      </c>
      <c r="J167" s="450" t="s">
        <v>322</v>
      </c>
      <c r="K167" s="469">
        <v>7</v>
      </c>
      <c r="L167" s="470" t="s">
        <v>322</v>
      </c>
      <c r="M167" s="509"/>
    </row>
    <row r="168" spans="1:13" ht="12.75">
      <c r="A168" s="466" t="s">
        <v>318</v>
      </c>
      <c r="B168" s="450" t="s">
        <v>323</v>
      </c>
      <c r="C168" s="458" t="s">
        <v>328</v>
      </c>
      <c r="D168" s="449">
        <v>37336</v>
      </c>
      <c r="E168" s="450" t="s">
        <v>322</v>
      </c>
      <c r="F168" s="467">
        <v>0.34</v>
      </c>
      <c r="G168" s="467" t="s">
        <v>321</v>
      </c>
      <c r="H168" s="468" t="s">
        <v>322</v>
      </c>
      <c r="I168" s="450" t="s">
        <v>322</v>
      </c>
      <c r="J168" s="450" t="s">
        <v>322</v>
      </c>
      <c r="K168" s="469">
        <v>7</v>
      </c>
      <c r="L168" s="470" t="s">
        <v>322</v>
      </c>
      <c r="M168" s="509"/>
    </row>
    <row r="169" spans="1:13" ht="12.75">
      <c r="A169" s="466" t="s">
        <v>318</v>
      </c>
      <c r="B169" s="450" t="s">
        <v>323</v>
      </c>
      <c r="C169" s="458" t="s">
        <v>328</v>
      </c>
      <c r="D169" s="449">
        <v>37428</v>
      </c>
      <c r="E169" s="450" t="s">
        <v>245</v>
      </c>
      <c r="F169" s="467">
        <v>0.25</v>
      </c>
      <c r="G169" s="467" t="s">
        <v>321</v>
      </c>
      <c r="H169" s="468" t="s">
        <v>322</v>
      </c>
      <c r="I169" s="450" t="s">
        <v>322</v>
      </c>
      <c r="J169" s="450" t="s">
        <v>322</v>
      </c>
      <c r="K169" s="469">
        <v>7</v>
      </c>
      <c r="L169" s="470" t="s">
        <v>322</v>
      </c>
      <c r="M169" s="509"/>
    </row>
    <row r="170" spans="1:13" ht="12.75">
      <c r="A170" s="466" t="s">
        <v>318</v>
      </c>
      <c r="B170" s="450" t="s">
        <v>319</v>
      </c>
      <c r="C170" s="458" t="s">
        <v>328</v>
      </c>
      <c r="D170" s="449">
        <v>37511</v>
      </c>
      <c r="E170" s="450" t="s">
        <v>322</v>
      </c>
      <c r="F170" s="467">
        <v>0.45</v>
      </c>
      <c r="G170" s="467" t="s">
        <v>321</v>
      </c>
      <c r="H170" s="468" t="s">
        <v>322</v>
      </c>
      <c r="I170" s="450">
        <v>0.04</v>
      </c>
      <c r="J170" s="450" t="s">
        <v>322</v>
      </c>
      <c r="K170" s="469">
        <v>7</v>
      </c>
      <c r="L170" s="470" t="s">
        <v>322</v>
      </c>
      <c r="M170" s="509"/>
    </row>
    <row r="171" spans="1:13" ht="12.75">
      <c r="A171" s="466" t="s">
        <v>318</v>
      </c>
      <c r="B171" s="450" t="s">
        <v>323</v>
      </c>
      <c r="C171" s="458" t="s">
        <v>328</v>
      </c>
      <c r="D171" s="449">
        <v>37518</v>
      </c>
      <c r="E171" s="450" t="s">
        <v>322</v>
      </c>
      <c r="F171" s="467">
        <v>0.45</v>
      </c>
      <c r="G171" s="467" t="s">
        <v>321</v>
      </c>
      <c r="H171" s="468" t="s">
        <v>322</v>
      </c>
      <c r="I171" s="450" t="s">
        <v>322</v>
      </c>
      <c r="J171" s="450" t="s">
        <v>322</v>
      </c>
      <c r="K171" s="469">
        <v>7</v>
      </c>
      <c r="L171" s="470" t="s">
        <v>322</v>
      </c>
      <c r="M171" s="509"/>
    </row>
    <row r="172" spans="1:13" ht="12.75">
      <c r="A172" s="466" t="s">
        <v>318</v>
      </c>
      <c r="B172" s="450" t="s">
        <v>323</v>
      </c>
      <c r="C172" s="458" t="s">
        <v>328</v>
      </c>
      <c r="D172" s="449">
        <v>37610</v>
      </c>
      <c r="E172" s="450" t="s">
        <v>322</v>
      </c>
      <c r="F172" s="467">
        <v>0.46</v>
      </c>
      <c r="G172" s="467" t="s">
        <v>321</v>
      </c>
      <c r="H172" s="468" t="s">
        <v>322</v>
      </c>
      <c r="I172" s="450" t="s">
        <v>322</v>
      </c>
      <c r="J172" s="450" t="s">
        <v>322</v>
      </c>
      <c r="K172" s="469">
        <v>7</v>
      </c>
      <c r="L172" s="470" t="s">
        <v>322</v>
      </c>
      <c r="M172" s="509"/>
    </row>
    <row r="173" spans="1:13" ht="12.75">
      <c r="A173" s="466" t="s">
        <v>318</v>
      </c>
      <c r="B173" s="450" t="s">
        <v>323</v>
      </c>
      <c r="C173" s="458" t="s">
        <v>328</v>
      </c>
      <c r="D173" s="449">
        <v>37701</v>
      </c>
      <c r="E173" s="450" t="s">
        <v>322</v>
      </c>
      <c r="F173" s="467">
        <v>0.3</v>
      </c>
      <c r="G173" s="467" t="s">
        <v>321</v>
      </c>
      <c r="H173" s="468" t="s">
        <v>322</v>
      </c>
      <c r="I173" s="450" t="s">
        <v>322</v>
      </c>
      <c r="J173" s="450" t="s">
        <v>322</v>
      </c>
      <c r="K173" s="469">
        <v>7</v>
      </c>
      <c r="L173" s="470" t="s">
        <v>322</v>
      </c>
      <c r="M173" s="509"/>
    </row>
    <row r="174" spans="1:13" ht="12.75">
      <c r="A174" s="466" t="s">
        <v>318</v>
      </c>
      <c r="B174" s="450" t="s">
        <v>323</v>
      </c>
      <c r="C174" s="458" t="s">
        <v>328</v>
      </c>
      <c r="D174" s="449">
        <v>37782</v>
      </c>
      <c r="E174" s="450" t="s">
        <v>322</v>
      </c>
      <c r="F174" s="467">
        <v>0.32</v>
      </c>
      <c r="G174" s="467" t="s">
        <v>321</v>
      </c>
      <c r="H174" s="468" t="s">
        <v>322</v>
      </c>
      <c r="I174" s="450" t="s">
        <v>322</v>
      </c>
      <c r="J174" s="450" t="s">
        <v>322</v>
      </c>
      <c r="K174" s="469">
        <v>7</v>
      </c>
      <c r="L174" s="470" t="s">
        <v>322</v>
      </c>
      <c r="M174" s="509"/>
    </row>
    <row r="175" spans="1:13" ht="12.75">
      <c r="A175" s="466" t="s">
        <v>318</v>
      </c>
      <c r="B175" s="450" t="s">
        <v>323</v>
      </c>
      <c r="C175" s="458" t="s">
        <v>328</v>
      </c>
      <c r="D175" s="449">
        <v>37874</v>
      </c>
      <c r="E175" s="450" t="s">
        <v>322</v>
      </c>
      <c r="F175" s="467">
        <v>0.33</v>
      </c>
      <c r="G175" s="467" t="s">
        <v>321</v>
      </c>
      <c r="H175" s="468" t="s">
        <v>322</v>
      </c>
      <c r="I175" s="450" t="s">
        <v>322</v>
      </c>
      <c r="J175" s="450" t="s">
        <v>322</v>
      </c>
      <c r="K175" s="469">
        <v>7</v>
      </c>
      <c r="L175" s="470" t="s">
        <v>322</v>
      </c>
      <c r="M175" s="509"/>
    </row>
    <row r="176" spans="1:13" ht="12.75">
      <c r="A176" s="466" t="s">
        <v>318</v>
      </c>
      <c r="B176" s="450" t="s">
        <v>323</v>
      </c>
      <c r="C176" s="458" t="s">
        <v>328</v>
      </c>
      <c r="D176" s="449">
        <v>37964</v>
      </c>
      <c r="E176" s="450" t="s">
        <v>322</v>
      </c>
      <c r="F176" s="467">
        <v>0.3</v>
      </c>
      <c r="G176" s="467" t="s">
        <v>321</v>
      </c>
      <c r="H176" s="468" t="s">
        <v>322</v>
      </c>
      <c r="I176" s="450" t="s">
        <v>322</v>
      </c>
      <c r="J176" s="450" t="s">
        <v>322</v>
      </c>
      <c r="K176" s="469">
        <v>7</v>
      </c>
      <c r="L176" s="470" t="s">
        <v>322</v>
      </c>
      <c r="M176" s="509"/>
    </row>
    <row r="177" spans="1:13" ht="12.75">
      <c r="A177" s="466" t="s">
        <v>318</v>
      </c>
      <c r="B177" s="450" t="s">
        <v>323</v>
      </c>
      <c r="C177" s="458" t="s">
        <v>328</v>
      </c>
      <c r="D177" s="449">
        <v>38055</v>
      </c>
      <c r="E177" s="450" t="s">
        <v>322</v>
      </c>
      <c r="F177" s="467">
        <v>0.38</v>
      </c>
      <c r="G177" s="467" t="s">
        <v>321</v>
      </c>
      <c r="H177" s="468" t="s">
        <v>322</v>
      </c>
      <c r="I177" s="450" t="s">
        <v>322</v>
      </c>
      <c r="J177" s="450" t="s">
        <v>322</v>
      </c>
      <c r="K177" s="469">
        <v>7</v>
      </c>
      <c r="L177" s="470" t="s">
        <v>322</v>
      </c>
      <c r="M177" s="509"/>
    </row>
    <row r="178" spans="1:13" ht="12.75">
      <c r="A178" s="466" t="s">
        <v>318</v>
      </c>
      <c r="B178" s="450" t="s">
        <v>323</v>
      </c>
      <c r="C178" s="458" t="s">
        <v>328</v>
      </c>
      <c r="D178" s="449">
        <v>38146</v>
      </c>
      <c r="E178" s="450" t="s">
        <v>322</v>
      </c>
      <c r="F178" s="467">
        <v>0.32</v>
      </c>
      <c r="G178" s="467" t="s">
        <v>321</v>
      </c>
      <c r="H178" s="468" t="s">
        <v>322</v>
      </c>
      <c r="I178" s="450" t="s">
        <v>322</v>
      </c>
      <c r="J178" s="450" t="s">
        <v>322</v>
      </c>
      <c r="K178" s="469">
        <v>7</v>
      </c>
      <c r="L178" s="470" t="s">
        <v>322</v>
      </c>
      <c r="M178" s="509"/>
    </row>
    <row r="179" spans="1:13" ht="12.75">
      <c r="A179" s="466" t="s">
        <v>318</v>
      </c>
      <c r="B179" s="450" t="s">
        <v>323</v>
      </c>
      <c r="C179" s="458" t="s">
        <v>328</v>
      </c>
      <c r="D179" s="449">
        <v>38239</v>
      </c>
      <c r="E179" s="450" t="s">
        <v>322</v>
      </c>
      <c r="F179" s="467">
        <v>0.29</v>
      </c>
      <c r="G179" s="467" t="s">
        <v>321</v>
      </c>
      <c r="H179" s="468" t="s">
        <v>322</v>
      </c>
      <c r="I179" s="450" t="s">
        <v>322</v>
      </c>
      <c r="J179" s="450" t="s">
        <v>322</v>
      </c>
      <c r="K179" s="469">
        <v>7</v>
      </c>
      <c r="L179" s="470" t="s">
        <v>322</v>
      </c>
      <c r="M179" s="509"/>
    </row>
    <row r="180" spans="1:13" ht="12.75">
      <c r="A180" s="466" t="s">
        <v>318</v>
      </c>
      <c r="B180" s="450" t="s">
        <v>323</v>
      </c>
      <c r="C180" s="458" t="s">
        <v>328</v>
      </c>
      <c r="D180" s="449">
        <v>38328</v>
      </c>
      <c r="E180" s="450" t="s">
        <v>322</v>
      </c>
      <c r="F180" s="467">
        <v>0.33</v>
      </c>
      <c r="G180" s="467" t="s">
        <v>321</v>
      </c>
      <c r="H180" s="468" t="s">
        <v>322</v>
      </c>
      <c r="I180" s="450" t="s">
        <v>322</v>
      </c>
      <c r="J180" s="450" t="s">
        <v>322</v>
      </c>
      <c r="K180" s="469">
        <v>7</v>
      </c>
      <c r="L180" s="470" t="s">
        <v>322</v>
      </c>
      <c r="M180" s="509"/>
    </row>
    <row r="181" spans="1:13" ht="12.75">
      <c r="A181" s="466" t="s">
        <v>318</v>
      </c>
      <c r="B181" s="450" t="s">
        <v>323</v>
      </c>
      <c r="C181" s="458" t="s">
        <v>328</v>
      </c>
      <c r="D181" s="449">
        <v>38419</v>
      </c>
      <c r="E181" s="450" t="s">
        <v>245</v>
      </c>
      <c r="F181" s="467">
        <v>0.25</v>
      </c>
      <c r="G181" s="467" t="s">
        <v>321</v>
      </c>
      <c r="H181" s="468" t="s">
        <v>322</v>
      </c>
      <c r="I181" s="450" t="s">
        <v>322</v>
      </c>
      <c r="J181" s="450" t="s">
        <v>322</v>
      </c>
      <c r="K181" s="469">
        <v>7</v>
      </c>
      <c r="L181" s="470" t="s">
        <v>322</v>
      </c>
      <c r="M181" s="509"/>
    </row>
    <row r="182" spans="1:13" ht="12.75">
      <c r="A182" s="466" t="s">
        <v>318</v>
      </c>
      <c r="B182" s="450" t="s">
        <v>323</v>
      </c>
      <c r="C182" s="458" t="s">
        <v>328</v>
      </c>
      <c r="D182" s="449">
        <v>38450</v>
      </c>
      <c r="E182" s="450" t="s">
        <v>322</v>
      </c>
      <c r="F182" s="467">
        <v>0.57</v>
      </c>
      <c r="G182" s="467" t="s">
        <v>321</v>
      </c>
      <c r="H182" s="468" t="s">
        <v>322</v>
      </c>
      <c r="I182" s="450" t="s">
        <v>322</v>
      </c>
      <c r="J182" s="450" t="s">
        <v>322</v>
      </c>
      <c r="K182" s="469">
        <v>7</v>
      </c>
      <c r="L182" s="470" t="s">
        <v>322</v>
      </c>
      <c r="M182" s="509"/>
    </row>
    <row r="183" spans="1:13" ht="12.75">
      <c r="A183" s="466" t="s">
        <v>318</v>
      </c>
      <c r="B183" s="450" t="s">
        <v>323</v>
      </c>
      <c r="C183" s="458" t="s">
        <v>328</v>
      </c>
      <c r="D183" s="449">
        <v>38511</v>
      </c>
      <c r="E183" s="450" t="s">
        <v>322</v>
      </c>
      <c r="F183" s="467">
        <v>0.27</v>
      </c>
      <c r="G183" s="467" t="s">
        <v>321</v>
      </c>
      <c r="H183" s="468" t="s">
        <v>322</v>
      </c>
      <c r="I183" s="450" t="s">
        <v>322</v>
      </c>
      <c r="J183" s="450" t="s">
        <v>322</v>
      </c>
      <c r="K183" s="469">
        <v>7</v>
      </c>
      <c r="L183" s="470" t="s">
        <v>322</v>
      </c>
      <c r="M183" s="509"/>
    </row>
    <row r="184" spans="1:13" ht="12.75">
      <c r="A184" s="466" t="s">
        <v>318</v>
      </c>
      <c r="B184" s="450" t="s">
        <v>323</v>
      </c>
      <c r="C184" s="458" t="s">
        <v>328</v>
      </c>
      <c r="D184" s="449">
        <v>38602</v>
      </c>
      <c r="E184" s="450" t="s">
        <v>322</v>
      </c>
      <c r="F184" s="467">
        <v>0.28</v>
      </c>
      <c r="G184" s="467" t="s">
        <v>321</v>
      </c>
      <c r="H184" s="468" t="s">
        <v>322</v>
      </c>
      <c r="I184" s="450" t="s">
        <v>322</v>
      </c>
      <c r="J184" s="450" t="s">
        <v>322</v>
      </c>
      <c r="K184" s="469">
        <v>7</v>
      </c>
      <c r="L184" s="470" t="s">
        <v>322</v>
      </c>
      <c r="M184" s="509"/>
    </row>
    <row r="185" spans="1:13" ht="12.75">
      <c r="A185" s="466" t="s">
        <v>318</v>
      </c>
      <c r="B185" s="450" t="s">
        <v>323</v>
      </c>
      <c r="C185" s="458" t="s">
        <v>328</v>
      </c>
      <c r="D185" s="449">
        <v>38699</v>
      </c>
      <c r="E185" s="450" t="s">
        <v>245</v>
      </c>
      <c r="F185" s="467">
        <v>0.25</v>
      </c>
      <c r="G185" s="467" t="s">
        <v>321</v>
      </c>
      <c r="H185" s="468" t="s">
        <v>322</v>
      </c>
      <c r="I185" s="450" t="s">
        <v>322</v>
      </c>
      <c r="J185" s="450" t="s">
        <v>322</v>
      </c>
      <c r="K185" s="469">
        <v>7</v>
      </c>
      <c r="L185" s="470" t="s">
        <v>322</v>
      </c>
      <c r="M185" s="509"/>
    </row>
    <row r="186" spans="1:13" ht="12.75">
      <c r="A186" s="466" t="s">
        <v>318</v>
      </c>
      <c r="B186" s="450" t="s">
        <v>323</v>
      </c>
      <c r="C186" s="458" t="s">
        <v>329</v>
      </c>
      <c r="D186" s="449">
        <v>37263</v>
      </c>
      <c r="E186" s="450" t="s">
        <v>322</v>
      </c>
      <c r="F186" s="467">
        <v>0.0049</v>
      </c>
      <c r="G186" s="467" t="s">
        <v>321</v>
      </c>
      <c r="H186" s="468" t="s">
        <v>322</v>
      </c>
      <c r="I186" s="450" t="s">
        <v>322</v>
      </c>
      <c r="J186" s="450" t="s">
        <v>322</v>
      </c>
      <c r="K186" s="469">
        <v>8</v>
      </c>
      <c r="L186" s="470" t="s">
        <v>322</v>
      </c>
      <c r="M186" s="509"/>
    </row>
    <row r="187" spans="1:13" ht="12.75">
      <c r="A187" s="466" t="s">
        <v>318</v>
      </c>
      <c r="B187" s="450" t="s">
        <v>323</v>
      </c>
      <c r="C187" s="458" t="s">
        <v>329</v>
      </c>
      <c r="D187" s="449">
        <v>37292</v>
      </c>
      <c r="E187" s="450" t="s">
        <v>322</v>
      </c>
      <c r="F187" s="467">
        <v>0.0028</v>
      </c>
      <c r="G187" s="467" t="s">
        <v>321</v>
      </c>
      <c r="H187" s="468" t="s">
        <v>322</v>
      </c>
      <c r="I187" s="450" t="s">
        <v>322</v>
      </c>
      <c r="J187" s="450" t="s">
        <v>322</v>
      </c>
      <c r="K187" s="469">
        <v>8</v>
      </c>
      <c r="L187" s="470" t="s">
        <v>322</v>
      </c>
      <c r="M187" s="509"/>
    </row>
    <row r="188" spans="1:13" ht="12.75">
      <c r="A188" s="466" t="s">
        <v>318</v>
      </c>
      <c r="B188" s="450" t="s">
        <v>323</v>
      </c>
      <c r="C188" s="458" t="s">
        <v>329</v>
      </c>
      <c r="D188" s="449">
        <v>37336</v>
      </c>
      <c r="E188" s="450" t="s">
        <v>245</v>
      </c>
      <c r="F188" s="467">
        <v>0.0046</v>
      </c>
      <c r="G188" s="467" t="s">
        <v>321</v>
      </c>
      <c r="H188" s="468" t="s">
        <v>322</v>
      </c>
      <c r="I188" s="450" t="s">
        <v>322</v>
      </c>
      <c r="J188" s="450" t="s">
        <v>322</v>
      </c>
      <c r="K188" s="469">
        <v>8</v>
      </c>
      <c r="L188" s="470" t="s">
        <v>322</v>
      </c>
      <c r="M188" s="509"/>
    </row>
    <row r="189" spans="1:13" ht="12.75">
      <c r="A189" s="466" t="s">
        <v>318</v>
      </c>
      <c r="B189" s="450" t="s">
        <v>323</v>
      </c>
      <c r="C189" s="458" t="s">
        <v>329</v>
      </c>
      <c r="D189" s="449">
        <v>37355</v>
      </c>
      <c r="E189" s="450" t="s">
        <v>322</v>
      </c>
      <c r="F189" s="467">
        <v>0.0032</v>
      </c>
      <c r="G189" s="467" t="s">
        <v>321</v>
      </c>
      <c r="H189" s="468" t="s">
        <v>322</v>
      </c>
      <c r="I189" s="450" t="s">
        <v>322</v>
      </c>
      <c r="J189" s="450" t="s">
        <v>322</v>
      </c>
      <c r="K189" s="469">
        <v>8</v>
      </c>
      <c r="L189" s="470" t="s">
        <v>322</v>
      </c>
      <c r="M189" s="509"/>
    </row>
    <row r="190" spans="1:13" ht="12.75">
      <c r="A190" s="466" t="s">
        <v>318</v>
      </c>
      <c r="B190" s="450" t="s">
        <v>323</v>
      </c>
      <c r="C190" s="458" t="s">
        <v>329</v>
      </c>
      <c r="D190" s="449">
        <v>37476</v>
      </c>
      <c r="E190" s="450" t="s">
        <v>322</v>
      </c>
      <c r="F190" s="467">
        <v>0.0043</v>
      </c>
      <c r="G190" s="467" t="s">
        <v>321</v>
      </c>
      <c r="H190" s="468">
        <v>0.0005</v>
      </c>
      <c r="I190" s="450">
        <v>0.00024</v>
      </c>
      <c r="J190" s="450" t="s">
        <v>322</v>
      </c>
      <c r="K190" s="469">
        <v>8</v>
      </c>
      <c r="L190" s="470" t="s">
        <v>322</v>
      </c>
      <c r="M190" s="509"/>
    </row>
    <row r="191" spans="1:13" ht="12.75">
      <c r="A191" s="466" t="s">
        <v>318</v>
      </c>
      <c r="B191" s="450" t="s">
        <v>323</v>
      </c>
      <c r="C191" s="458" t="s">
        <v>329</v>
      </c>
      <c r="D191" s="449">
        <v>37518</v>
      </c>
      <c r="E191" s="450" t="s">
        <v>322</v>
      </c>
      <c r="F191" s="467">
        <v>0.0043</v>
      </c>
      <c r="G191" s="467" t="s">
        <v>321</v>
      </c>
      <c r="H191" s="468" t="s">
        <v>322</v>
      </c>
      <c r="I191" s="450" t="s">
        <v>322</v>
      </c>
      <c r="J191" s="450" t="s">
        <v>322</v>
      </c>
      <c r="K191" s="469">
        <v>8</v>
      </c>
      <c r="L191" s="470" t="s">
        <v>322</v>
      </c>
      <c r="M191" s="509"/>
    </row>
    <row r="192" spans="1:13" ht="12.75">
      <c r="A192" s="466" t="s">
        <v>318</v>
      </c>
      <c r="B192" s="450" t="s">
        <v>323</v>
      </c>
      <c r="C192" s="458" t="s">
        <v>329</v>
      </c>
      <c r="D192" s="449">
        <v>37533</v>
      </c>
      <c r="E192" s="450" t="s">
        <v>322</v>
      </c>
      <c r="F192" s="467">
        <v>0.0044</v>
      </c>
      <c r="G192" s="467" t="s">
        <v>321</v>
      </c>
      <c r="H192" s="468" t="s">
        <v>322</v>
      </c>
      <c r="I192" s="450" t="s">
        <v>322</v>
      </c>
      <c r="J192" s="450" t="s">
        <v>322</v>
      </c>
      <c r="K192" s="469">
        <v>8</v>
      </c>
      <c r="L192" s="470" t="s">
        <v>322</v>
      </c>
      <c r="M192" s="509"/>
    </row>
    <row r="193" spans="1:13" ht="12.75">
      <c r="A193" s="466" t="s">
        <v>318</v>
      </c>
      <c r="B193" s="450" t="s">
        <v>323</v>
      </c>
      <c r="C193" s="458" t="s">
        <v>329</v>
      </c>
      <c r="D193" s="449">
        <v>37567</v>
      </c>
      <c r="E193" s="450" t="s">
        <v>322</v>
      </c>
      <c r="F193" s="467">
        <v>0.0062</v>
      </c>
      <c r="G193" s="467" t="s">
        <v>321</v>
      </c>
      <c r="H193" s="468" t="s">
        <v>322</v>
      </c>
      <c r="I193" s="450" t="s">
        <v>322</v>
      </c>
      <c r="J193" s="450" t="s">
        <v>322</v>
      </c>
      <c r="K193" s="469">
        <v>8</v>
      </c>
      <c r="L193" s="470" t="s">
        <v>322</v>
      </c>
      <c r="M193" s="509"/>
    </row>
    <row r="194" spans="1:13" ht="12.75">
      <c r="A194" s="466" t="s">
        <v>318</v>
      </c>
      <c r="B194" s="450" t="s">
        <v>323</v>
      </c>
      <c r="C194" s="458" t="s">
        <v>329</v>
      </c>
      <c r="D194" s="449">
        <v>37663</v>
      </c>
      <c r="E194" s="467" t="s">
        <v>322</v>
      </c>
      <c r="F194" s="467">
        <v>0.0046</v>
      </c>
      <c r="G194" s="467" t="s">
        <v>321</v>
      </c>
      <c r="H194" s="468" t="s">
        <v>322</v>
      </c>
      <c r="I194" s="450" t="s">
        <v>322</v>
      </c>
      <c r="J194" s="450" t="s">
        <v>322</v>
      </c>
      <c r="K194" s="469">
        <v>8</v>
      </c>
      <c r="L194" s="470" t="s">
        <v>322</v>
      </c>
      <c r="M194" s="509"/>
    </row>
    <row r="195" spans="1:13" ht="12.75">
      <c r="A195" s="466" t="s">
        <v>318</v>
      </c>
      <c r="B195" s="450" t="s">
        <v>323</v>
      </c>
      <c r="C195" s="458" t="s">
        <v>329</v>
      </c>
      <c r="D195" s="449">
        <v>37701</v>
      </c>
      <c r="E195" s="467" t="s">
        <v>322</v>
      </c>
      <c r="F195" s="467">
        <v>0.0035</v>
      </c>
      <c r="G195" s="467" t="s">
        <v>321</v>
      </c>
      <c r="H195" s="468">
        <v>0.0005</v>
      </c>
      <c r="I195" s="450">
        <v>0.00024</v>
      </c>
      <c r="J195" s="450" t="s">
        <v>322</v>
      </c>
      <c r="K195" s="469">
        <v>8</v>
      </c>
      <c r="L195" s="470"/>
      <c r="M195" s="509"/>
    </row>
    <row r="196" spans="1:13" ht="12.75">
      <c r="A196" s="466" t="s">
        <v>318</v>
      </c>
      <c r="B196" s="450" t="s">
        <v>323</v>
      </c>
      <c r="C196" s="458" t="s">
        <v>329</v>
      </c>
      <c r="D196" s="449">
        <v>37777</v>
      </c>
      <c r="E196" s="467" t="s">
        <v>245</v>
      </c>
      <c r="F196" s="467">
        <v>0.0005</v>
      </c>
      <c r="G196" s="467" t="s">
        <v>321</v>
      </c>
      <c r="H196" s="468">
        <v>0.0005</v>
      </c>
      <c r="I196" s="450">
        <v>0.00024</v>
      </c>
      <c r="J196" s="450" t="s">
        <v>322</v>
      </c>
      <c r="K196" s="469">
        <v>8</v>
      </c>
      <c r="L196" s="470" t="s">
        <v>322</v>
      </c>
      <c r="M196" s="509"/>
    </row>
    <row r="197" spans="1:13" ht="12.75">
      <c r="A197" s="466" t="s">
        <v>318</v>
      </c>
      <c r="B197" s="450" t="s">
        <v>323</v>
      </c>
      <c r="C197" s="458" t="s">
        <v>329</v>
      </c>
      <c r="D197" s="449">
        <v>37838</v>
      </c>
      <c r="E197" s="467" t="s">
        <v>322</v>
      </c>
      <c r="F197" s="467">
        <v>0.0058</v>
      </c>
      <c r="G197" s="467" t="s">
        <v>321</v>
      </c>
      <c r="H197" s="468" t="s">
        <v>322</v>
      </c>
      <c r="I197" s="450" t="s">
        <v>322</v>
      </c>
      <c r="J197" s="450" t="s">
        <v>322</v>
      </c>
      <c r="K197" s="469">
        <v>8</v>
      </c>
      <c r="L197" s="470" t="s">
        <v>322</v>
      </c>
      <c r="M197" s="509"/>
    </row>
    <row r="198" spans="1:13" ht="12.75">
      <c r="A198" s="466" t="s">
        <v>318</v>
      </c>
      <c r="B198" s="450" t="s">
        <v>323</v>
      </c>
      <c r="C198" s="458" t="s">
        <v>329</v>
      </c>
      <c r="D198" s="449">
        <v>37868</v>
      </c>
      <c r="E198" s="467" t="s">
        <v>322</v>
      </c>
      <c r="F198" s="467">
        <v>0.0059</v>
      </c>
      <c r="G198" s="467" t="s">
        <v>321</v>
      </c>
      <c r="H198" s="468" t="s">
        <v>322</v>
      </c>
      <c r="I198" s="450" t="s">
        <v>322</v>
      </c>
      <c r="J198" s="450" t="s">
        <v>322</v>
      </c>
      <c r="K198" s="469">
        <v>8</v>
      </c>
      <c r="L198" s="470" t="s">
        <v>322</v>
      </c>
      <c r="M198" s="509"/>
    </row>
    <row r="199" spans="1:13" ht="12.75">
      <c r="A199" s="466" t="s">
        <v>318</v>
      </c>
      <c r="B199" s="450" t="s">
        <v>323</v>
      </c>
      <c r="C199" s="458" t="s">
        <v>329</v>
      </c>
      <c r="D199" s="449">
        <v>38203</v>
      </c>
      <c r="E199" s="467"/>
      <c r="F199" s="467">
        <v>0.0034</v>
      </c>
      <c r="G199" s="467" t="s">
        <v>321</v>
      </c>
      <c r="H199" s="450">
        <v>0.0005</v>
      </c>
      <c r="I199" s="450">
        <v>0.00024</v>
      </c>
      <c r="J199" s="450" t="s">
        <v>322</v>
      </c>
      <c r="K199" s="469">
        <v>8</v>
      </c>
      <c r="L199" s="470" t="s">
        <v>322</v>
      </c>
      <c r="M199" s="509"/>
    </row>
    <row r="200" spans="1:13" ht="12.75">
      <c r="A200" s="466" t="s">
        <v>318</v>
      </c>
      <c r="B200" s="450" t="s">
        <v>323</v>
      </c>
      <c r="C200" s="458" t="s">
        <v>329</v>
      </c>
      <c r="D200" s="449">
        <v>38231</v>
      </c>
      <c r="E200" s="467"/>
      <c r="F200" s="467">
        <v>0.012</v>
      </c>
      <c r="G200" s="467" t="s">
        <v>321</v>
      </c>
      <c r="H200" s="450">
        <v>0.0005</v>
      </c>
      <c r="I200" s="450">
        <v>0.00024</v>
      </c>
      <c r="J200" s="450" t="s">
        <v>322</v>
      </c>
      <c r="K200" s="469">
        <v>8</v>
      </c>
      <c r="L200" s="470" t="s">
        <v>322</v>
      </c>
      <c r="M200" s="509"/>
    </row>
    <row r="201" spans="1:13" ht="12.75">
      <c r="A201" s="466" t="s">
        <v>318</v>
      </c>
      <c r="B201" s="450" t="s">
        <v>323</v>
      </c>
      <c r="C201" s="458" t="s">
        <v>329</v>
      </c>
      <c r="D201" s="449">
        <v>38273</v>
      </c>
      <c r="E201" s="467"/>
      <c r="F201" s="467">
        <v>0.0044</v>
      </c>
      <c r="G201" s="467" t="s">
        <v>321</v>
      </c>
      <c r="H201" s="450">
        <v>0.0005</v>
      </c>
      <c r="I201" s="450">
        <v>0.00024</v>
      </c>
      <c r="J201" s="450" t="s">
        <v>322</v>
      </c>
      <c r="K201" s="469">
        <v>8</v>
      </c>
      <c r="L201" s="470" t="s">
        <v>322</v>
      </c>
      <c r="M201" s="509"/>
    </row>
    <row r="202" spans="1:13" ht="12.75">
      <c r="A202" s="466" t="s">
        <v>318</v>
      </c>
      <c r="B202" s="450" t="s">
        <v>323</v>
      </c>
      <c r="C202" s="458" t="s">
        <v>329</v>
      </c>
      <c r="D202" s="449">
        <v>38294</v>
      </c>
      <c r="E202" s="467"/>
      <c r="F202" s="467">
        <v>0.007</v>
      </c>
      <c r="G202" s="467" t="s">
        <v>321</v>
      </c>
      <c r="H202" s="450">
        <v>0.0005</v>
      </c>
      <c r="I202" s="450">
        <v>0.00024</v>
      </c>
      <c r="J202" s="450" t="s">
        <v>322</v>
      </c>
      <c r="K202" s="469">
        <v>8</v>
      </c>
      <c r="L202" s="470" t="s">
        <v>322</v>
      </c>
      <c r="M202" s="509"/>
    </row>
    <row r="203" spans="1:13" ht="12.75">
      <c r="A203" s="466" t="s">
        <v>318</v>
      </c>
      <c r="B203" s="450" t="s">
        <v>323</v>
      </c>
      <c r="C203" s="458" t="s">
        <v>329</v>
      </c>
      <c r="D203" s="449">
        <v>38322</v>
      </c>
      <c r="E203" s="467"/>
      <c r="F203" s="467">
        <v>0.0057</v>
      </c>
      <c r="G203" s="467" t="s">
        <v>321</v>
      </c>
      <c r="H203" s="450">
        <v>0.0005</v>
      </c>
      <c r="I203" s="450">
        <v>0.00024</v>
      </c>
      <c r="J203" s="450" t="s">
        <v>322</v>
      </c>
      <c r="K203" s="469">
        <v>8</v>
      </c>
      <c r="L203" s="470" t="s">
        <v>322</v>
      </c>
      <c r="M203" s="509"/>
    </row>
    <row r="204" spans="1:13" ht="12.75">
      <c r="A204" s="466" t="s">
        <v>318</v>
      </c>
      <c r="B204" s="450" t="s">
        <v>323</v>
      </c>
      <c r="C204" s="458" t="s">
        <v>329</v>
      </c>
      <c r="D204" s="449">
        <v>38391</v>
      </c>
      <c r="E204" s="467"/>
      <c r="F204" s="467">
        <v>0.0043</v>
      </c>
      <c r="G204" s="467" t="s">
        <v>321</v>
      </c>
      <c r="H204" s="450">
        <v>0.0005</v>
      </c>
      <c r="I204" s="450">
        <v>0.00024</v>
      </c>
      <c r="J204" s="450" t="s">
        <v>322</v>
      </c>
      <c r="K204" s="469">
        <v>8</v>
      </c>
      <c r="L204" s="470" t="s">
        <v>322</v>
      </c>
      <c r="M204" s="509"/>
    </row>
    <row r="205" spans="1:13" ht="12.75">
      <c r="A205" s="466" t="s">
        <v>318</v>
      </c>
      <c r="B205" s="450" t="s">
        <v>323</v>
      </c>
      <c r="C205" s="458" t="s">
        <v>329</v>
      </c>
      <c r="D205" s="449">
        <v>38413</v>
      </c>
      <c r="E205" s="467" t="s">
        <v>245</v>
      </c>
      <c r="F205" s="467">
        <v>0.00024</v>
      </c>
      <c r="G205" s="467" t="s">
        <v>321</v>
      </c>
      <c r="H205" s="450">
        <v>0.0005</v>
      </c>
      <c r="I205" s="450">
        <v>0.00024</v>
      </c>
      <c r="J205" s="450" t="s">
        <v>322</v>
      </c>
      <c r="K205" s="469">
        <v>8</v>
      </c>
      <c r="L205" s="470" t="s">
        <v>322</v>
      </c>
      <c r="M205" s="509"/>
    </row>
    <row r="206" spans="1:13" ht="12.75">
      <c r="A206" s="466" t="s">
        <v>318</v>
      </c>
      <c r="B206" s="450" t="s">
        <v>323</v>
      </c>
      <c r="C206" s="458" t="s">
        <v>329</v>
      </c>
      <c r="D206" s="449">
        <v>38450</v>
      </c>
      <c r="E206" s="467"/>
      <c r="F206" s="467">
        <v>0.0058</v>
      </c>
      <c r="G206" s="467" t="s">
        <v>321</v>
      </c>
      <c r="H206" s="450">
        <v>0.0005</v>
      </c>
      <c r="I206" s="450">
        <v>0.00024</v>
      </c>
      <c r="J206" s="450" t="s">
        <v>322</v>
      </c>
      <c r="K206" s="469">
        <v>8</v>
      </c>
      <c r="L206" s="470" t="s">
        <v>322</v>
      </c>
      <c r="M206" s="509"/>
    </row>
    <row r="207" spans="1:13" ht="12.75">
      <c r="A207" s="466" t="s">
        <v>318</v>
      </c>
      <c r="B207" s="450" t="s">
        <v>323</v>
      </c>
      <c r="C207" s="458" t="s">
        <v>329</v>
      </c>
      <c r="D207" s="449">
        <v>38505</v>
      </c>
      <c r="E207" s="467"/>
      <c r="F207" s="467">
        <v>0.0026</v>
      </c>
      <c r="G207" s="467" t="s">
        <v>321</v>
      </c>
      <c r="H207" s="450">
        <v>0.0005</v>
      </c>
      <c r="I207" s="450">
        <v>0.00024</v>
      </c>
      <c r="J207" s="450" t="s">
        <v>322</v>
      </c>
      <c r="K207" s="469">
        <v>8</v>
      </c>
      <c r="L207" s="470" t="s">
        <v>322</v>
      </c>
      <c r="M207" s="509"/>
    </row>
    <row r="208" spans="1:13" ht="12.75">
      <c r="A208" s="466" t="s">
        <v>318</v>
      </c>
      <c r="B208" s="450" t="s">
        <v>323</v>
      </c>
      <c r="C208" s="458" t="s">
        <v>329</v>
      </c>
      <c r="D208" s="449">
        <v>38567</v>
      </c>
      <c r="E208" s="467"/>
      <c r="F208" s="467">
        <v>0.0043</v>
      </c>
      <c r="G208" s="467" t="s">
        <v>321</v>
      </c>
      <c r="H208" s="450">
        <v>0.0005</v>
      </c>
      <c r="I208" s="450">
        <v>0.00024</v>
      </c>
      <c r="J208" s="450" t="s">
        <v>322</v>
      </c>
      <c r="K208" s="469">
        <v>8</v>
      </c>
      <c r="L208" s="470" t="s">
        <v>322</v>
      </c>
      <c r="M208" s="509"/>
    </row>
    <row r="209" spans="1:13" ht="12.75">
      <c r="A209" s="466" t="s">
        <v>318</v>
      </c>
      <c r="B209" s="450" t="s">
        <v>323</v>
      </c>
      <c r="C209" s="458" t="s">
        <v>329</v>
      </c>
      <c r="D209" s="449">
        <v>38637</v>
      </c>
      <c r="E209" s="467"/>
      <c r="F209" s="467">
        <v>0.0052</v>
      </c>
      <c r="G209" s="467" t="s">
        <v>321</v>
      </c>
      <c r="H209" s="450">
        <v>0.0005</v>
      </c>
      <c r="I209" s="450">
        <v>0.00024</v>
      </c>
      <c r="J209" s="450" t="s">
        <v>322</v>
      </c>
      <c r="K209" s="469">
        <v>8</v>
      </c>
      <c r="L209" s="470" t="s">
        <v>322</v>
      </c>
      <c r="M209" s="509"/>
    </row>
    <row r="210" spans="1:13" ht="12.75">
      <c r="A210" s="466" t="s">
        <v>318</v>
      </c>
      <c r="B210" s="450" t="s">
        <v>323</v>
      </c>
      <c r="C210" s="458" t="s">
        <v>329</v>
      </c>
      <c r="D210" s="449">
        <v>38658</v>
      </c>
      <c r="E210" s="467"/>
      <c r="F210" s="467">
        <v>0.014</v>
      </c>
      <c r="G210" s="467" t="s">
        <v>321</v>
      </c>
      <c r="H210" s="450">
        <v>0.0005</v>
      </c>
      <c r="I210" s="450">
        <v>0.00024</v>
      </c>
      <c r="J210" s="450" t="s">
        <v>322</v>
      </c>
      <c r="K210" s="469">
        <v>8</v>
      </c>
      <c r="L210" s="470" t="s">
        <v>322</v>
      </c>
      <c r="M210" s="509"/>
    </row>
    <row r="211" spans="1:13" ht="12.75">
      <c r="A211" s="466" t="s">
        <v>318</v>
      </c>
      <c r="B211" s="450" t="s">
        <v>323</v>
      </c>
      <c r="C211" s="458" t="s">
        <v>329</v>
      </c>
      <c r="D211" s="449">
        <v>38693</v>
      </c>
      <c r="E211" s="467"/>
      <c r="F211" s="467">
        <v>0.0048</v>
      </c>
      <c r="G211" s="467" t="s">
        <v>321</v>
      </c>
      <c r="H211" s="450">
        <v>0.0005</v>
      </c>
      <c r="I211" s="450">
        <v>0.00024</v>
      </c>
      <c r="J211" s="450" t="s">
        <v>322</v>
      </c>
      <c r="K211" s="469">
        <v>8</v>
      </c>
      <c r="L211" s="470" t="s">
        <v>322</v>
      </c>
      <c r="M211" s="509"/>
    </row>
    <row r="212" spans="1:13" ht="12.75">
      <c r="A212" s="466" t="s">
        <v>318</v>
      </c>
      <c r="B212" s="450" t="s">
        <v>323</v>
      </c>
      <c r="C212" s="458" t="s">
        <v>329</v>
      </c>
      <c r="D212" s="449">
        <v>38722</v>
      </c>
      <c r="E212" s="467"/>
      <c r="F212" s="467">
        <v>0.0046</v>
      </c>
      <c r="G212" s="467" t="s">
        <v>321</v>
      </c>
      <c r="H212" s="450">
        <v>0.0005</v>
      </c>
      <c r="I212" s="450">
        <v>0.00024</v>
      </c>
      <c r="J212" s="450" t="s">
        <v>322</v>
      </c>
      <c r="K212" s="469">
        <v>8</v>
      </c>
      <c r="L212" s="470" t="s">
        <v>322</v>
      </c>
      <c r="M212" s="509"/>
    </row>
    <row r="213" spans="1:13" ht="12.75">
      <c r="A213" s="466" t="s">
        <v>318</v>
      </c>
      <c r="B213" s="450" t="s">
        <v>323</v>
      </c>
      <c r="C213" s="458" t="s">
        <v>329</v>
      </c>
      <c r="D213" s="449">
        <v>38750</v>
      </c>
      <c r="E213" s="467"/>
      <c r="F213" s="467">
        <v>0.0044</v>
      </c>
      <c r="G213" s="467" t="s">
        <v>321</v>
      </c>
      <c r="H213" s="450">
        <v>0.0005</v>
      </c>
      <c r="I213" s="450">
        <v>0.0002</v>
      </c>
      <c r="J213" s="450" t="s">
        <v>322</v>
      </c>
      <c r="K213" s="469">
        <v>8</v>
      </c>
      <c r="L213" s="470" t="s">
        <v>322</v>
      </c>
      <c r="M213" s="509"/>
    </row>
    <row r="214" spans="1:13" ht="12.75">
      <c r="A214" s="466" t="s">
        <v>318</v>
      </c>
      <c r="B214" s="450" t="s">
        <v>323</v>
      </c>
      <c r="C214" s="458" t="s">
        <v>330</v>
      </c>
      <c r="D214" s="449">
        <v>36591</v>
      </c>
      <c r="E214" s="450" t="s">
        <v>245</v>
      </c>
      <c r="F214" s="467">
        <v>5</v>
      </c>
      <c r="G214" s="467" t="s">
        <v>321</v>
      </c>
      <c r="H214" s="468" t="s">
        <v>322</v>
      </c>
      <c r="I214" s="450" t="s">
        <v>322</v>
      </c>
      <c r="J214" s="450" t="s">
        <v>322</v>
      </c>
      <c r="K214" s="469">
        <v>9</v>
      </c>
      <c r="L214" s="470" t="s">
        <v>322</v>
      </c>
      <c r="M214" s="509"/>
    </row>
    <row r="215" spans="1:13" ht="12.75">
      <c r="A215" s="466" t="s">
        <v>318</v>
      </c>
      <c r="B215" s="450" t="s">
        <v>323</v>
      </c>
      <c r="C215" s="458" t="s">
        <v>330</v>
      </c>
      <c r="D215" s="449">
        <v>36682</v>
      </c>
      <c r="E215" s="450" t="s">
        <v>245</v>
      </c>
      <c r="F215" s="467">
        <v>5</v>
      </c>
      <c r="G215" s="467" t="s">
        <v>321</v>
      </c>
      <c r="H215" s="468" t="s">
        <v>322</v>
      </c>
      <c r="I215" s="450" t="s">
        <v>322</v>
      </c>
      <c r="J215" s="450" t="s">
        <v>322</v>
      </c>
      <c r="K215" s="469">
        <v>9</v>
      </c>
      <c r="L215" s="470" t="s">
        <v>322</v>
      </c>
      <c r="M215" s="509"/>
    </row>
    <row r="216" spans="1:13" ht="12.75">
      <c r="A216" s="466" t="s">
        <v>318</v>
      </c>
      <c r="B216" s="450" t="s">
        <v>323</v>
      </c>
      <c r="C216" s="458" t="s">
        <v>330</v>
      </c>
      <c r="D216" s="449">
        <v>36775</v>
      </c>
      <c r="E216" s="450" t="s">
        <v>245</v>
      </c>
      <c r="F216" s="467">
        <v>5</v>
      </c>
      <c r="G216" s="467" t="s">
        <v>321</v>
      </c>
      <c r="H216" s="468" t="s">
        <v>322</v>
      </c>
      <c r="I216" s="450" t="s">
        <v>322</v>
      </c>
      <c r="J216" s="450" t="s">
        <v>322</v>
      </c>
      <c r="K216" s="469">
        <v>9</v>
      </c>
      <c r="L216" s="470" t="s">
        <v>322</v>
      </c>
      <c r="M216" s="509"/>
    </row>
    <row r="217" spans="1:13" ht="12.75">
      <c r="A217" s="466" t="s">
        <v>318</v>
      </c>
      <c r="B217" s="450" t="s">
        <v>323</v>
      </c>
      <c r="C217" s="458" t="s">
        <v>330</v>
      </c>
      <c r="D217" s="449">
        <v>36865</v>
      </c>
      <c r="E217" s="450" t="s">
        <v>245</v>
      </c>
      <c r="F217" s="467">
        <v>3</v>
      </c>
      <c r="G217" s="467" t="s">
        <v>321</v>
      </c>
      <c r="H217" s="468" t="s">
        <v>322</v>
      </c>
      <c r="I217" s="450" t="s">
        <v>322</v>
      </c>
      <c r="J217" s="450" t="s">
        <v>322</v>
      </c>
      <c r="K217" s="469">
        <v>9</v>
      </c>
      <c r="L217" s="470" t="s">
        <v>322</v>
      </c>
      <c r="M217" s="509"/>
    </row>
    <row r="218" spans="1:13" ht="12.75">
      <c r="A218" s="466" t="s">
        <v>318</v>
      </c>
      <c r="B218" s="450" t="s">
        <v>323</v>
      </c>
      <c r="C218" s="458" t="s">
        <v>330</v>
      </c>
      <c r="D218" s="449">
        <v>36957</v>
      </c>
      <c r="E218" s="450" t="s">
        <v>322</v>
      </c>
      <c r="F218" s="467">
        <v>6</v>
      </c>
      <c r="G218" s="467" t="s">
        <v>321</v>
      </c>
      <c r="H218" s="468" t="s">
        <v>322</v>
      </c>
      <c r="I218" s="450" t="s">
        <v>322</v>
      </c>
      <c r="J218" s="450" t="s">
        <v>322</v>
      </c>
      <c r="K218" s="469">
        <v>9</v>
      </c>
      <c r="L218" s="470" t="s">
        <v>322</v>
      </c>
      <c r="M218" s="509"/>
    </row>
    <row r="219" spans="1:13" ht="12.75">
      <c r="A219" s="466" t="s">
        <v>318</v>
      </c>
      <c r="B219" s="450" t="s">
        <v>323</v>
      </c>
      <c r="C219" s="458" t="s">
        <v>330</v>
      </c>
      <c r="D219" s="449">
        <v>37050</v>
      </c>
      <c r="E219" s="450" t="s">
        <v>322</v>
      </c>
      <c r="F219" s="467">
        <v>4.2</v>
      </c>
      <c r="G219" s="467" t="s">
        <v>321</v>
      </c>
      <c r="H219" s="468" t="s">
        <v>322</v>
      </c>
      <c r="I219" s="450" t="s">
        <v>322</v>
      </c>
      <c r="J219" s="450" t="s">
        <v>322</v>
      </c>
      <c r="K219" s="469">
        <v>9</v>
      </c>
      <c r="L219" s="470" t="s">
        <v>322</v>
      </c>
      <c r="M219" s="509"/>
    </row>
    <row r="220" spans="1:13" ht="12.75">
      <c r="A220" s="466" t="s">
        <v>318</v>
      </c>
      <c r="B220" s="450" t="s">
        <v>323</v>
      </c>
      <c r="C220" s="458" t="s">
        <v>330</v>
      </c>
      <c r="D220" s="449">
        <v>37139</v>
      </c>
      <c r="E220" s="450" t="s">
        <v>322</v>
      </c>
      <c r="F220" s="467">
        <v>2.2</v>
      </c>
      <c r="G220" s="467" t="s">
        <v>321</v>
      </c>
      <c r="H220" s="468" t="s">
        <v>322</v>
      </c>
      <c r="I220" s="450" t="s">
        <v>322</v>
      </c>
      <c r="J220" s="450" t="s">
        <v>322</v>
      </c>
      <c r="K220" s="469">
        <v>9</v>
      </c>
      <c r="L220" s="470" t="s">
        <v>322</v>
      </c>
      <c r="M220" s="509"/>
    </row>
    <row r="221" spans="1:13" ht="12.75">
      <c r="A221" s="466" t="s">
        <v>318</v>
      </c>
      <c r="B221" s="450" t="s">
        <v>323</v>
      </c>
      <c r="C221" s="458" t="s">
        <v>330</v>
      </c>
      <c r="D221" s="449">
        <v>37231</v>
      </c>
      <c r="E221" s="450" t="s">
        <v>322</v>
      </c>
      <c r="F221" s="467">
        <v>4.2</v>
      </c>
      <c r="G221" s="467" t="s">
        <v>321</v>
      </c>
      <c r="H221" s="468" t="s">
        <v>322</v>
      </c>
      <c r="I221" s="450" t="s">
        <v>322</v>
      </c>
      <c r="J221" s="450" t="s">
        <v>322</v>
      </c>
      <c r="K221" s="469">
        <v>9</v>
      </c>
      <c r="L221" s="470" t="s">
        <v>322</v>
      </c>
      <c r="M221" s="509"/>
    </row>
    <row r="222" spans="1:13" ht="12.75">
      <c r="A222" s="466" t="s">
        <v>318</v>
      </c>
      <c r="B222" s="450" t="s">
        <v>323</v>
      </c>
      <c r="C222" s="458" t="s">
        <v>330</v>
      </c>
      <c r="D222" s="449">
        <v>37336</v>
      </c>
      <c r="E222" s="450" t="s">
        <v>322</v>
      </c>
      <c r="F222" s="467">
        <v>2.6</v>
      </c>
      <c r="G222" s="467" t="s">
        <v>321</v>
      </c>
      <c r="H222" s="468" t="s">
        <v>322</v>
      </c>
      <c r="I222" s="450" t="s">
        <v>322</v>
      </c>
      <c r="J222" s="450" t="s">
        <v>322</v>
      </c>
      <c r="K222" s="469">
        <v>9</v>
      </c>
      <c r="L222" s="470" t="s">
        <v>322</v>
      </c>
      <c r="M222" s="509"/>
    </row>
    <row r="223" spans="1:13" ht="12.75">
      <c r="A223" s="466" t="s">
        <v>318</v>
      </c>
      <c r="B223" s="450" t="s">
        <v>323</v>
      </c>
      <c r="C223" s="458" t="s">
        <v>330</v>
      </c>
      <c r="D223" s="449">
        <v>37428</v>
      </c>
      <c r="E223" s="450" t="s">
        <v>322</v>
      </c>
      <c r="F223" s="467">
        <v>3.1</v>
      </c>
      <c r="G223" s="467" t="s">
        <v>321</v>
      </c>
      <c r="H223" s="468" t="s">
        <v>322</v>
      </c>
      <c r="I223" s="450" t="s">
        <v>322</v>
      </c>
      <c r="J223" s="450" t="s">
        <v>322</v>
      </c>
      <c r="K223" s="469">
        <v>9</v>
      </c>
      <c r="L223" s="470" t="s">
        <v>322</v>
      </c>
      <c r="M223" s="509"/>
    </row>
    <row r="224" spans="1:13" ht="12.75">
      <c r="A224" s="466" t="s">
        <v>318</v>
      </c>
      <c r="B224" s="450" t="s">
        <v>323</v>
      </c>
      <c r="C224" s="458" t="s">
        <v>330</v>
      </c>
      <c r="D224" s="449">
        <v>37518</v>
      </c>
      <c r="E224" s="450" t="s">
        <v>322</v>
      </c>
      <c r="F224" s="467">
        <v>2.8</v>
      </c>
      <c r="G224" s="467" t="s">
        <v>321</v>
      </c>
      <c r="H224" s="468" t="s">
        <v>322</v>
      </c>
      <c r="I224" s="450" t="s">
        <v>322</v>
      </c>
      <c r="J224" s="450" t="s">
        <v>322</v>
      </c>
      <c r="K224" s="469">
        <v>9</v>
      </c>
      <c r="L224" s="470" t="s">
        <v>322</v>
      </c>
      <c r="M224" s="509"/>
    </row>
    <row r="225" spans="1:13" ht="12.75">
      <c r="A225" s="466" t="s">
        <v>318</v>
      </c>
      <c r="B225" s="450" t="s">
        <v>323</v>
      </c>
      <c r="C225" s="458" t="s">
        <v>330</v>
      </c>
      <c r="D225" s="449">
        <v>37610</v>
      </c>
      <c r="E225" s="450" t="s">
        <v>322</v>
      </c>
      <c r="F225" s="467">
        <v>4.4</v>
      </c>
      <c r="G225" s="467" t="s">
        <v>321</v>
      </c>
      <c r="H225" s="468" t="s">
        <v>322</v>
      </c>
      <c r="I225" s="450" t="s">
        <v>322</v>
      </c>
      <c r="J225" s="450" t="s">
        <v>322</v>
      </c>
      <c r="K225" s="469">
        <v>9</v>
      </c>
      <c r="L225" s="470" t="s">
        <v>322</v>
      </c>
      <c r="M225" s="509"/>
    </row>
    <row r="226" spans="1:13" ht="12.75">
      <c r="A226" s="466" t="s">
        <v>318</v>
      </c>
      <c r="B226" s="450" t="s">
        <v>323</v>
      </c>
      <c r="C226" s="458" t="s">
        <v>330</v>
      </c>
      <c r="D226" s="449">
        <v>37701</v>
      </c>
      <c r="E226" s="450" t="s">
        <v>322</v>
      </c>
      <c r="F226" s="467">
        <v>2.2</v>
      </c>
      <c r="G226" s="467" t="s">
        <v>321</v>
      </c>
      <c r="H226" s="468" t="s">
        <v>322</v>
      </c>
      <c r="I226" s="450" t="s">
        <v>322</v>
      </c>
      <c r="J226" s="450" t="s">
        <v>322</v>
      </c>
      <c r="K226" s="469">
        <v>9</v>
      </c>
      <c r="L226" s="470" t="s">
        <v>322</v>
      </c>
      <c r="M226" s="509"/>
    </row>
    <row r="227" spans="1:13" ht="12.75">
      <c r="A227" s="466" t="s">
        <v>318</v>
      </c>
      <c r="B227" s="450" t="s">
        <v>323</v>
      </c>
      <c r="C227" s="458" t="s">
        <v>330</v>
      </c>
      <c r="D227" s="449">
        <v>37782</v>
      </c>
      <c r="E227" s="450" t="s">
        <v>322</v>
      </c>
      <c r="F227" s="467">
        <v>2.7</v>
      </c>
      <c r="G227" s="467" t="s">
        <v>321</v>
      </c>
      <c r="H227" s="468" t="s">
        <v>322</v>
      </c>
      <c r="I227" s="450" t="s">
        <v>322</v>
      </c>
      <c r="J227" s="450" t="s">
        <v>322</v>
      </c>
      <c r="K227" s="469">
        <v>9</v>
      </c>
      <c r="L227" s="470" t="s">
        <v>322</v>
      </c>
      <c r="M227" s="509"/>
    </row>
    <row r="228" spans="1:13" ht="12.75">
      <c r="A228" s="466" t="s">
        <v>318</v>
      </c>
      <c r="B228" s="450" t="s">
        <v>323</v>
      </c>
      <c r="C228" s="458" t="s">
        <v>330</v>
      </c>
      <c r="D228" s="449">
        <v>37874</v>
      </c>
      <c r="E228" s="450" t="s">
        <v>322</v>
      </c>
      <c r="F228" s="467">
        <v>3.3</v>
      </c>
      <c r="G228" s="467" t="s">
        <v>321</v>
      </c>
      <c r="H228" s="468" t="s">
        <v>322</v>
      </c>
      <c r="I228" s="450" t="s">
        <v>322</v>
      </c>
      <c r="J228" s="450" t="s">
        <v>322</v>
      </c>
      <c r="K228" s="469">
        <v>9</v>
      </c>
      <c r="L228" s="470" t="s">
        <v>322</v>
      </c>
      <c r="M228" s="509"/>
    </row>
    <row r="229" spans="1:13" ht="12.75">
      <c r="A229" s="466" t="s">
        <v>318</v>
      </c>
      <c r="B229" s="450" t="s">
        <v>323</v>
      </c>
      <c r="C229" s="458" t="s">
        <v>330</v>
      </c>
      <c r="D229" s="449">
        <v>37964</v>
      </c>
      <c r="E229" s="450" t="s">
        <v>322</v>
      </c>
      <c r="F229" s="467">
        <v>3.4</v>
      </c>
      <c r="G229" s="467" t="s">
        <v>321</v>
      </c>
      <c r="H229" s="468" t="s">
        <v>322</v>
      </c>
      <c r="I229" s="450" t="s">
        <v>322</v>
      </c>
      <c r="J229" s="450" t="s">
        <v>322</v>
      </c>
      <c r="K229" s="469">
        <v>9</v>
      </c>
      <c r="L229" s="470" t="s">
        <v>322</v>
      </c>
      <c r="M229" s="509"/>
    </row>
    <row r="230" spans="1:13" ht="12.75">
      <c r="A230" s="466" t="s">
        <v>318</v>
      </c>
      <c r="B230" s="450" t="s">
        <v>323</v>
      </c>
      <c r="C230" s="458" t="s">
        <v>330</v>
      </c>
      <c r="D230" s="449">
        <v>38055</v>
      </c>
      <c r="E230" s="450" t="s">
        <v>322</v>
      </c>
      <c r="F230" s="467">
        <v>2.9</v>
      </c>
      <c r="G230" s="467" t="s">
        <v>321</v>
      </c>
      <c r="H230" s="468" t="s">
        <v>322</v>
      </c>
      <c r="I230" s="450" t="s">
        <v>322</v>
      </c>
      <c r="J230" s="450" t="s">
        <v>322</v>
      </c>
      <c r="K230" s="469">
        <v>9</v>
      </c>
      <c r="L230" s="470" t="s">
        <v>322</v>
      </c>
      <c r="M230" s="509"/>
    </row>
    <row r="231" spans="1:13" ht="12.75">
      <c r="A231" s="466" t="s">
        <v>318</v>
      </c>
      <c r="B231" s="450" t="s">
        <v>323</v>
      </c>
      <c r="C231" s="458" t="s">
        <v>330</v>
      </c>
      <c r="D231" s="449">
        <v>38146</v>
      </c>
      <c r="E231" s="450" t="s">
        <v>322</v>
      </c>
      <c r="F231" s="467">
        <v>3</v>
      </c>
      <c r="G231" s="467" t="s">
        <v>321</v>
      </c>
      <c r="H231" s="468" t="s">
        <v>322</v>
      </c>
      <c r="I231" s="450" t="s">
        <v>322</v>
      </c>
      <c r="J231" s="450" t="s">
        <v>322</v>
      </c>
      <c r="K231" s="469">
        <v>9</v>
      </c>
      <c r="L231" s="470" t="s">
        <v>322</v>
      </c>
      <c r="M231" s="509"/>
    </row>
    <row r="232" spans="1:13" ht="12.75">
      <c r="A232" s="466" t="s">
        <v>318</v>
      </c>
      <c r="B232" s="450" t="s">
        <v>323</v>
      </c>
      <c r="C232" s="458" t="s">
        <v>330</v>
      </c>
      <c r="D232" s="449">
        <v>38239</v>
      </c>
      <c r="E232" s="450" t="s">
        <v>322</v>
      </c>
      <c r="F232" s="467">
        <v>3.2</v>
      </c>
      <c r="G232" s="467" t="s">
        <v>321</v>
      </c>
      <c r="H232" s="468" t="s">
        <v>322</v>
      </c>
      <c r="I232" s="450" t="s">
        <v>322</v>
      </c>
      <c r="J232" s="450" t="s">
        <v>322</v>
      </c>
      <c r="K232" s="469">
        <v>9</v>
      </c>
      <c r="L232" s="470" t="s">
        <v>322</v>
      </c>
      <c r="M232" s="509"/>
    </row>
    <row r="233" spans="1:13" ht="12.75">
      <c r="A233" s="466" t="s">
        <v>318</v>
      </c>
      <c r="B233" s="450" t="s">
        <v>323</v>
      </c>
      <c r="C233" s="458" t="s">
        <v>330</v>
      </c>
      <c r="D233" s="449">
        <v>38328</v>
      </c>
      <c r="E233" s="450" t="s">
        <v>322</v>
      </c>
      <c r="F233" s="467">
        <v>2.6</v>
      </c>
      <c r="G233" s="467" t="s">
        <v>321</v>
      </c>
      <c r="H233" s="468" t="s">
        <v>322</v>
      </c>
      <c r="I233" s="450" t="s">
        <v>322</v>
      </c>
      <c r="J233" s="450" t="s">
        <v>322</v>
      </c>
      <c r="K233" s="469">
        <v>9</v>
      </c>
      <c r="L233" s="470" t="s">
        <v>322</v>
      </c>
      <c r="M233" s="509"/>
    </row>
    <row r="234" spans="1:13" ht="12.75">
      <c r="A234" s="466" t="s">
        <v>318</v>
      </c>
      <c r="B234" s="450" t="s">
        <v>323</v>
      </c>
      <c r="C234" s="458" t="s">
        <v>330</v>
      </c>
      <c r="D234" s="449">
        <v>38419</v>
      </c>
      <c r="E234" s="450" t="s">
        <v>322</v>
      </c>
      <c r="F234" s="467">
        <v>3.7</v>
      </c>
      <c r="G234" s="467" t="s">
        <v>321</v>
      </c>
      <c r="H234" s="468" t="s">
        <v>322</v>
      </c>
      <c r="I234" s="450" t="s">
        <v>322</v>
      </c>
      <c r="J234" s="450" t="s">
        <v>322</v>
      </c>
      <c r="K234" s="469">
        <v>9</v>
      </c>
      <c r="L234" s="470" t="s">
        <v>322</v>
      </c>
      <c r="M234" s="509"/>
    </row>
    <row r="235" spans="1:13" ht="12.75">
      <c r="A235" s="466" t="s">
        <v>318</v>
      </c>
      <c r="B235" s="450" t="s">
        <v>323</v>
      </c>
      <c r="C235" s="458" t="s">
        <v>330</v>
      </c>
      <c r="D235" s="449">
        <v>38511</v>
      </c>
      <c r="E235" s="450" t="s">
        <v>322</v>
      </c>
      <c r="F235" s="467">
        <v>3.3</v>
      </c>
      <c r="G235" s="467" t="s">
        <v>321</v>
      </c>
      <c r="H235" s="468" t="s">
        <v>322</v>
      </c>
      <c r="I235" s="450" t="s">
        <v>322</v>
      </c>
      <c r="J235" s="450" t="s">
        <v>322</v>
      </c>
      <c r="K235" s="469">
        <v>9</v>
      </c>
      <c r="L235" s="470" t="s">
        <v>322</v>
      </c>
      <c r="M235" s="509"/>
    </row>
    <row r="236" spans="1:13" ht="12.75">
      <c r="A236" s="466" t="s">
        <v>318</v>
      </c>
      <c r="B236" s="450" t="s">
        <v>323</v>
      </c>
      <c r="C236" s="458" t="s">
        <v>330</v>
      </c>
      <c r="D236" s="449">
        <v>38602</v>
      </c>
      <c r="E236" s="450" t="s">
        <v>322</v>
      </c>
      <c r="F236" s="467">
        <v>2.9</v>
      </c>
      <c r="G236" s="467" t="s">
        <v>321</v>
      </c>
      <c r="H236" s="468" t="s">
        <v>322</v>
      </c>
      <c r="I236" s="450" t="s">
        <v>322</v>
      </c>
      <c r="J236" s="450" t="s">
        <v>322</v>
      </c>
      <c r="K236" s="469">
        <v>9</v>
      </c>
      <c r="L236" s="470" t="s">
        <v>322</v>
      </c>
      <c r="M236" s="509"/>
    </row>
    <row r="237" spans="1:13" ht="12.75">
      <c r="A237" s="466" t="s">
        <v>318</v>
      </c>
      <c r="B237" s="450" t="s">
        <v>323</v>
      </c>
      <c r="C237" s="458" t="s">
        <v>330</v>
      </c>
      <c r="D237" s="449">
        <v>38699</v>
      </c>
      <c r="E237" s="450" t="s">
        <v>322</v>
      </c>
      <c r="F237" s="467">
        <v>2.6</v>
      </c>
      <c r="G237" s="467" t="s">
        <v>321</v>
      </c>
      <c r="H237" s="468" t="s">
        <v>322</v>
      </c>
      <c r="I237" s="450" t="s">
        <v>322</v>
      </c>
      <c r="J237" s="450" t="s">
        <v>322</v>
      </c>
      <c r="K237" s="469">
        <v>9</v>
      </c>
      <c r="L237" s="470" t="s">
        <v>322</v>
      </c>
      <c r="M237" s="509"/>
    </row>
    <row r="238" spans="1:13" ht="12.75">
      <c r="A238" s="466" t="s">
        <v>318</v>
      </c>
      <c r="B238" s="450" t="s">
        <v>323</v>
      </c>
      <c r="C238" s="458" t="s">
        <v>331</v>
      </c>
      <c r="D238" s="449">
        <v>36591</v>
      </c>
      <c r="E238" s="450" t="s">
        <v>245</v>
      </c>
      <c r="F238" s="467">
        <v>1</v>
      </c>
      <c r="G238" s="467" t="s">
        <v>321</v>
      </c>
      <c r="H238" s="468" t="s">
        <v>322</v>
      </c>
      <c r="I238" s="450" t="s">
        <v>322</v>
      </c>
      <c r="J238" s="450" t="s">
        <v>322</v>
      </c>
      <c r="K238" s="469">
        <v>10</v>
      </c>
      <c r="L238" s="470" t="s">
        <v>322</v>
      </c>
      <c r="M238" s="509"/>
    </row>
    <row r="239" spans="1:13" ht="12.75">
      <c r="A239" s="466" t="s">
        <v>318</v>
      </c>
      <c r="B239" s="450" t="s">
        <v>323</v>
      </c>
      <c r="C239" s="458" t="s">
        <v>331</v>
      </c>
      <c r="D239" s="449">
        <v>36775</v>
      </c>
      <c r="E239" s="450" t="s">
        <v>245</v>
      </c>
      <c r="F239" s="467">
        <v>1</v>
      </c>
      <c r="G239" s="467" t="s">
        <v>321</v>
      </c>
      <c r="H239" s="468" t="s">
        <v>322</v>
      </c>
      <c r="I239" s="450" t="s">
        <v>322</v>
      </c>
      <c r="J239" s="450" t="s">
        <v>322</v>
      </c>
      <c r="K239" s="469">
        <v>10</v>
      </c>
      <c r="L239" s="470" t="s">
        <v>322</v>
      </c>
      <c r="M239" s="509"/>
    </row>
    <row r="240" spans="1:13" ht="12.75">
      <c r="A240" s="466" t="s">
        <v>318</v>
      </c>
      <c r="B240" s="450" t="s">
        <v>323</v>
      </c>
      <c r="C240" s="458" t="s">
        <v>331</v>
      </c>
      <c r="D240" s="449">
        <v>36865</v>
      </c>
      <c r="E240" s="450" t="s">
        <v>245</v>
      </c>
      <c r="F240" s="467">
        <v>1</v>
      </c>
      <c r="G240" s="467" t="s">
        <v>321</v>
      </c>
      <c r="H240" s="468" t="s">
        <v>322</v>
      </c>
      <c r="I240" s="450" t="s">
        <v>322</v>
      </c>
      <c r="J240" s="450" t="s">
        <v>322</v>
      </c>
      <c r="K240" s="469">
        <v>10</v>
      </c>
      <c r="L240" s="470" t="s">
        <v>322</v>
      </c>
      <c r="M240" s="509"/>
    </row>
    <row r="241" spans="1:13" ht="12.75">
      <c r="A241" s="466" t="s">
        <v>318</v>
      </c>
      <c r="B241" s="450" t="s">
        <v>323</v>
      </c>
      <c r="C241" s="458" t="s">
        <v>331</v>
      </c>
      <c r="D241" s="449">
        <v>36957</v>
      </c>
      <c r="E241" s="450" t="s">
        <v>245</v>
      </c>
      <c r="F241" s="467">
        <v>1</v>
      </c>
      <c r="G241" s="467" t="s">
        <v>321</v>
      </c>
      <c r="H241" s="468" t="s">
        <v>322</v>
      </c>
      <c r="I241" s="450" t="s">
        <v>322</v>
      </c>
      <c r="J241" s="450" t="s">
        <v>322</v>
      </c>
      <c r="K241" s="469">
        <v>10</v>
      </c>
      <c r="L241" s="470" t="s">
        <v>322</v>
      </c>
      <c r="M241" s="509"/>
    </row>
    <row r="242" spans="1:13" ht="12.75">
      <c r="A242" s="466" t="s">
        <v>318</v>
      </c>
      <c r="B242" s="450" t="s">
        <v>323</v>
      </c>
      <c r="C242" s="458" t="s">
        <v>331</v>
      </c>
      <c r="D242" s="449">
        <v>37050</v>
      </c>
      <c r="E242" s="450" t="s">
        <v>322</v>
      </c>
      <c r="F242" s="467">
        <v>1.1</v>
      </c>
      <c r="G242" s="467" t="s">
        <v>321</v>
      </c>
      <c r="H242" s="468" t="s">
        <v>322</v>
      </c>
      <c r="I242" s="450" t="s">
        <v>322</v>
      </c>
      <c r="J242" s="450" t="s">
        <v>322</v>
      </c>
      <c r="K242" s="469">
        <v>10</v>
      </c>
      <c r="L242" s="470" t="s">
        <v>322</v>
      </c>
      <c r="M242" s="509"/>
    </row>
    <row r="243" spans="1:13" ht="12.75">
      <c r="A243" s="466" t="s">
        <v>318</v>
      </c>
      <c r="B243" s="450" t="s">
        <v>323</v>
      </c>
      <c r="C243" s="458" t="s">
        <v>331</v>
      </c>
      <c r="D243" s="449">
        <v>37139</v>
      </c>
      <c r="E243" s="450" t="s">
        <v>245</v>
      </c>
      <c r="F243" s="467">
        <v>1</v>
      </c>
      <c r="G243" s="467" t="s">
        <v>321</v>
      </c>
      <c r="H243" s="468" t="s">
        <v>322</v>
      </c>
      <c r="I243" s="450" t="s">
        <v>322</v>
      </c>
      <c r="J243" s="450" t="s">
        <v>322</v>
      </c>
      <c r="K243" s="469">
        <v>10</v>
      </c>
      <c r="L243" s="470" t="s">
        <v>322</v>
      </c>
      <c r="M243" s="509"/>
    </row>
    <row r="244" spans="1:13" ht="12.75">
      <c r="A244" s="466" t="s">
        <v>318</v>
      </c>
      <c r="B244" s="450" t="s">
        <v>323</v>
      </c>
      <c r="C244" s="458" t="s">
        <v>331</v>
      </c>
      <c r="D244" s="449">
        <v>37231</v>
      </c>
      <c r="E244" s="450" t="s">
        <v>245</v>
      </c>
      <c r="F244" s="467">
        <v>1</v>
      </c>
      <c r="G244" s="467" t="s">
        <v>321</v>
      </c>
      <c r="H244" s="468" t="s">
        <v>322</v>
      </c>
      <c r="I244" s="450" t="s">
        <v>322</v>
      </c>
      <c r="J244" s="450" t="s">
        <v>322</v>
      </c>
      <c r="K244" s="469">
        <v>10</v>
      </c>
      <c r="L244" s="470" t="s">
        <v>322</v>
      </c>
      <c r="M244" s="509"/>
    </row>
    <row r="245" spans="1:13" ht="12.75">
      <c r="A245" s="466" t="s">
        <v>318</v>
      </c>
      <c r="B245" s="450" t="s">
        <v>323</v>
      </c>
      <c r="C245" s="458" t="s">
        <v>331</v>
      </c>
      <c r="D245" s="449">
        <v>37336</v>
      </c>
      <c r="E245" s="450" t="s">
        <v>245</v>
      </c>
      <c r="F245" s="467">
        <v>1</v>
      </c>
      <c r="G245" s="467" t="s">
        <v>321</v>
      </c>
      <c r="H245" s="468" t="s">
        <v>322</v>
      </c>
      <c r="I245" s="450" t="s">
        <v>322</v>
      </c>
      <c r="J245" s="450" t="s">
        <v>322</v>
      </c>
      <c r="K245" s="469">
        <v>10</v>
      </c>
      <c r="L245" s="470" t="s">
        <v>322</v>
      </c>
      <c r="M245" s="509"/>
    </row>
    <row r="246" spans="1:13" ht="12.75">
      <c r="A246" s="466" t="s">
        <v>318</v>
      </c>
      <c r="B246" s="450" t="s">
        <v>323</v>
      </c>
      <c r="C246" s="458" t="s">
        <v>331</v>
      </c>
      <c r="D246" s="449">
        <v>37428</v>
      </c>
      <c r="E246" s="450" t="s">
        <v>322</v>
      </c>
      <c r="F246" s="467">
        <v>1</v>
      </c>
      <c r="G246" s="467" t="s">
        <v>321</v>
      </c>
      <c r="H246" s="468" t="s">
        <v>322</v>
      </c>
      <c r="I246" s="450" t="s">
        <v>322</v>
      </c>
      <c r="J246" s="450" t="s">
        <v>322</v>
      </c>
      <c r="K246" s="469">
        <v>10</v>
      </c>
      <c r="L246" s="470" t="s">
        <v>322</v>
      </c>
      <c r="M246" s="509"/>
    </row>
    <row r="247" spans="1:13" ht="12.75">
      <c r="A247" s="466" t="s">
        <v>318</v>
      </c>
      <c r="B247" s="450" t="s">
        <v>323</v>
      </c>
      <c r="C247" s="458" t="s">
        <v>331</v>
      </c>
      <c r="D247" s="449">
        <v>37518</v>
      </c>
      <c r="E247" s="450" t="s">
        <v>245</v>
      </c>
      <c r="F247" s="467">
        <v>1</v>
      </c>
      <c r="G247" s="467" t="s">
        <v>321</v>
      </c>
      <c r="H247" s="468" t="s">
        <v>322</v>
      </c>
      <c r="I247" s="450" t="s">
        <v>322</v>
      </c>
      <c r="J247" s="450" t="s">
        <v>322</v>
      </c>
      <c r="K247" s="469">
        <v>10</v>
      </c>
      <c r="L247" s="470" t="s">
        <v>322</v>
      </c>
      <c r="M247" s="509"/>
    </row>
    <row r="248" spans="1:13" ht="12.75">
      <c r="A248" s="466" t="s">
        <v>318</v>
      </c>
      <c r="B248" s="450" t="s">
        <v>323</v>
      </c>
      <c r="C248" s="458" t="s">
        <v>331</v>
      </c>
      <c r="D248" s="449">
        <v>37610</v>
      </c>
      <c r="E248" s="450" t="s">
        <v>245</v>
      </c>
      <c r="F248" s="467">
        <v>1</v>
      </c>
      <c r="G248" s="467" t="s">
        <v>321</v>
      </c>
      <c r="H248" s="468" t="s">
        <v>322</v>
      </c>
      <c r="I248" s="450" t="s">
        <v>322</v>
      </c>
      <c r="J248" s="450" t="s">
        <v>322</v>
      </c>
      <c r="K248" s="469">
        <v>10</v>
      </c>
      <c r="L248" s="470" t="s">
        <v>322</v>
      </c>
      <c r="M248" s="509"/>
    </row>
    <row r="249" spans="1:13" ht="12.75">
      <c r="A249" s="466" t="s">
        <v>318</v>
      </c>
      <c r="B249" s="450" t="s">
        <v>323</v>
      </c>
      <c r="C249" s="458" t="s">
        <v>331</v>
      </c>
      <c r="D249" s="449">
        <v>37701</v>
      </c>
      <c r="E249" s="450" t="s">
        <v>322</v>
      </c>
      <c r="F249" s="467">
        <v>1</v>
      </c>
      <c r="G249" s="467" t="s">
        <v>321</v>
      </c>
      <c r="H249" s="468" t="s">
        <v>322</v>
      </c>
      <c r="I249" s="450" t="s">
        <v>322</v>
      </c>
      <c r="J249" s="450" t="s">
        <v>322</v>
      </c>
      <c r="K249" s="469">
        <v>10</v>
      </c>
      <c r="L249" s="470" t="s">
        <v>322</v>
      </c>
      <c r="M249" s="509"/>
    </row>
    <row r="250" spans="1:13" ht="12.75">
      <c r="A250" s="466" t="s">
        <v>318</v>
      </c>
      <c r="B250" s="450" t="s">
        <v>323</v>
      </c>
      <c r="C250" s="458" t="s">
        <v>331</v>
      </c>
      <c r="D250" s="449">
        <v>37782</v>
      </c>
      <c r="E250" s="450" t="s">
        <v>322</v>
      </c>
      <c r="F250" s="467">
        <v>1</v>
      </c>
      <c r="G250" s="467" t="s">
        <v>321</v>
      </c>
      <c r="H250" s="468" t="s">
        <v>322</v>
      </c>
      <c r="I250" s="450" t="s">
        <v>322</v>
      </c>
      <c r="J250" s="450" t="s">
        <v>322</v>
      </c>
      <c r="K250" s="469">
        <v>10</v>
      </c>
      <c r="L250" s="470" t="s">
        <v>322</v>
      </c>
      <c r="M250" s="509"/>
    </row>
    <row r="251" spans="1:13" ht="12.75">
      <c r="A251" s="466" t="s">
        <v>318</v>
      </c>
      <c r="B251" s="450" t="s">
        <v>323</v>
      </c>
      <c r="C251" s="458" t="s">
        <v>331</v>
      </c>
      <c r="D251" s="449">
        <v>37874</v>
      </c>
      <c r="E251" s="450" t="s">
        <v>245</v>
      </c>
      <c r="F251" s="467">
        <v>1</v>
      </c>
      <c r="G251" s="467" t="s">
        <v>321</v>
      </c>
      <c r="H251" s="468" t="s">
        <v>322</v>
      </c>
      <c r="I251" s="450" t="s">
        <v>322</v>
      </c>
      <c r="J251" s="450" t="s">
        <v>322</v>
      </c>
      <c r="K251" s="469">
        <v>10</v>
      </c>
      <c r="L251" s="470" t="s">
        <v>322</v>
      </c>
      <c r="M251" s="509"/>
    </row>
    <row r="252" spans="1:13" ht="12.75">
      <c r="A252" s="466" t="s">
        <v>318</v>
      </c>
      <c r="B252" s="450" t="s">
        <v>323</v>
      </c>
      <c r="C252" s="458" t="s">
        <v>331</v>
      </c>
      <c r="D252" s="449">
        <v>37964</v>
      </c>
      <c r="E252" s="450" t="s">
        <v>245</v>
      </c>
      <c r="F252" s="467">
        <v>0.1</v>
      </c>
      <c r="G252" s="467" t="s">
        <v>321</v>
      </c>
      <c r="H252" s="468" t="s">
        <v>322</v>
      </c>
      <c r="I252" s="450" t="s">
        <v>322</v>
      </c>
      <c r="J252" s="450" t="s">
        <v>322</v>
      </c>
      <c r="K252" s="469">
        <v>10</v>
      </c>
      <c r="L252" s="470" t="s">
        <v>322</v>
      </c>
      <c r="M252" s="509"/>
    </row>
    <row r="253" spans="1:13" ht="12.75">
      <c r="A253" s="466" t="s">
        <v>318</v>
      </c>
      <c r="B253" s="450" t="s">
        <v>323</v>
      </c>
      <c r="C253" s="458" t="s">
        <v>331</v>
      </c>
      <c r="D253" s="449">
        <v>38055</v>
      </c>
      <c r="E253" s="450" t="s">
        <v>245</v>
      </c>
      <c r="F253" s="467">
        <v>0.1</v>
      </c>
      <c r="G253" s="467" t="s">
        <v>321</v>
      </c>
      <c r="H253" s="468" t="s">
        <v>322</v>
      </c>
      <c r="I253" s="450" t="s">
        <v>322</v>
      </c>
      <c r="J253" s="450" t="s">
        <v>322</v>
      </c>
      <c r="K253" s="469">
        <v>10</v>
      </c>
      <c r="L253" s="470" t="s">
        <v>322</v>
      </c>
      <c r="M253" s="509"/>
    </row>
    <row r="254" spans="1:13" ht="12.75">
      <c r="A254" s="466" t="s">
        <v>318</v>
      </c>
      <c r="B254" s="450" t="s">
        <v>323</v>
      </c>
      <c r="C254" s="458" t="s">
        <v>331</v>
      </c>
      <c r="D254" s="449">
        <v>38146</v>
      </c>
      <c r="E254" s="450" t="s">
        <v>245</v>
      </c>
      <c r="F254" s="467">
        <v>1</v>
      </c>
      <c r="G254" s="467" t="s">
        <v>321</v>
      </c>
      <c r="H254" s="468" t="s">
        <v>322</v>
      </c>
      <c r="I254" s="450" t="s">
        <v>322</v>
      </c>
      <c r="J254" s="450" t="s">
        <v>322</v>
      </c>
      <c r="K254" s="469">
        <v>10</v>
      </c>
      <c r="L254" s="470" t="s">
        <v>322</v>
      </c>
      <c r="M254" s="509"/>
    </row>
    <row r="255" spans="1:13" ht="12.75">
      <c r="A255" s="466" t="s">
        <v>318</v>
      </c>
      <c r="B255" s="450" t="s">
        <v>323</v>
      </c>
      <c r="C255" s="458" t="s">
        <v>331</v>
      </c>
      <c r="D255" s="449">
        <v>38239</v>
      </c>
      <c r="E255" s="450" t="s">
        <v>245</v>
      </c>
      <c r="F255" s="467">
        <v>1</v>
      </c>
      <c r="G255" s="467" t="s">
        <v>321</v>
      </c>
      <c r="H255" s="468" t="s">
        <v>322</v>
      </c>
      <c r="I255" s="450" t="s">
        <v>322</v>
      </c>
      <c r="J255" s="450" t="s">
        <v>322</v>
      </c>
      <c r="K255" s="469">
        <v>10</v>
      </c>
      <c r="L255" s="470" t="s">
        <v>322</v>
      </c>
      <c r="M255" s="509"/>
    </row>
    <row r="256" spans="1:13" ht="12.75">
      <c r="A256" s="466" t="s">
        <v>318</v>
      </c>
      <c r="B256" s="450" t="s">
        <v>323</v>
      </c>
      <c r="C256" s="458" t="s">
        <v>331</v>
      </c>
      <c r="D256" s="449">
        <v>38328</v>
      </c>
      <c r="E256" s="450" t="s">
        <v>245</v>
      </c>
      <c r="F256" s="467">
        <v>1</v>
      </c>
      <c r="G256" s="467" t="s">
        <v>321</v>
      </c>
      <c r="H256" s="468" t="s">
        <v>322</v>
      </c>
      <c r="I256" s="450" t="s">
        <v>322</v>
      </c>
      <c r="J256" s="450" t="s">
        <v>322</v>
      </c>
      <c r="K256" s="469">
        <v>10</v>
      </c>
      <c r="L256" s="470" t="s">
        <v>322</v>
      </c>
      <c r="M256" s="509"/>
    </row>
    <row r="257" spans="1:13" ht="12.75">
      <c r="A257" s="466" t="s">
        <v>318</v>
      </c>
      <c r="B257" s="450" t="s">
        <v>323</v>
      </c>
      <c r="C257" s="458" t="s">
        <v>331</v>
      </c>
      <c r="D257" s="449">
        <v>38419</v>
      </c>
      <c r="E257" s="450" t="s">
        <v>322</v>
      </c>
      <c r="F257" s="467">
        <v>1</v>
      </c>
      <c r="G257" s="467" t="s">
        <v>321</v>
      </c>
      <c r="H257" s="468" t="s">
        <v>322</v>
      </c>
      <c r="I257" s="450" t="s">
        <v>322</v>
      </c>
      <c r="J257" s="450" t="s">
        <v>322</v>
      </c>
      <c r="K257" s="469">
        <v>10</v>
      </c>
      <c r="L257" s="470" t="s">
        <v>322</v>
      </c>
      <c r="M257" s="509"/>
    </row>
    <row r="258" spans="1:13" ht="12.75">
      <c r="A258" s="466" t="s">
        <v>318</v>
      </c>
      <c r="B258" s="450" t="s">
        <v>323</v>
      </c>
      <c r="C258" s="458" t="s">
        <v>331</v>
      </c>
      <c r="D258" s="449">
        <v>38450</v>
      </c>
      <c r="E258" s="450" t="s">
        <v>322</v>
      </c>
      <c r="F258" s="467">
        <v>1</v>
      </c>
      <c r="G258" s="467" t="s">
        <v>321</v>
      </c>
      <c r="H258" s="468" t="s">
        <v>322</v>
      </c>
      <c r="I258" s="450" t="s">
        <v>322</v>
      </c>
      <c r="J258" s="450" t="s">
        <v>322</v>
      </c>
      <c r="K258" s="469">
        <v>10</v>
      </c>
      <c r="L258" s="470" t="s">
        <v>322</v>
      </c>
      <c r="M258" s="509"/>
    </row>
    <row r="259" spans="1:13" ht="12.75">
      <c r="A259" s="466" t="s">
        <v>318</v>
      </c>
      <c r="B259" s="450" t="s">
        <v>323</v>
      </c>
      <c r="C259" s="458" t="s">
        <v>331</v>
      </c>
      <c r="D259" s="449">
        <v>38511</v>
      </c>
      <c r="E259" s="450" t="s">
        <v>245</v>
      </c>
      <c r="F259" s="467">
        <v>1</v>
      </c>
      <c r="G259" s="467" t="s">
        <v>321</v>
      </c>
      <c r="H259" s="468" t="s">
        <v>322</v>
      </c>
      <c r="I259" s="450" t="s">
        <v>322</v>
      </c>
      <c r="J259" s="450" t="s">
        <v>322</v>
      </c>
      <c r="K259" s="469">
        <v>10</v>
      </c>
      <c r="L259" s="470" t="s">
        <v>322</v>
      </c>
      <c r="M259" s="509"/>
    </row>
    <row r="260" spans="1:13" ht="12.75">
      <c r="A260" s="466" t="s">
        <v>318</v>
      </c>
      <c r="B260" s="450" t="s">
        <v>323</v>
      </c>
      <c r="C260" s="458" t="s">
        <v>331</v>
      </c>
      <c r="D260" s="449">
        <v>38602</v>
      </c>
      <c r="E260" s="450" t="s">
        <v>245</v>
      </c>
      <c r="F260" s="467">
        <v>1</v>
      </c>
      <c r="G260" s="467" t="s">
        <v>321</v>
      </c>
      <c r="H260" s="468" t="s">
        <v>322</v>
      </c>
      <c r="I260" s="450" t="s">
        <v>322</v>
      </c>
      <c r="J260" s="450" t="s">
        <v>322</v>
      </c>
      <c r="K260" s="469">
        <v>10</v>
      </c>
      <c r="L260" s="470" t="s">
        <v>322</v>
      </c>
      <c r="M260" s="509"/>
    </row>
    <row r="261" spans="1:13" ht="12.75">
      <c r="A261" s="466" t="s">
        <v>318</v>
      </c>
      <c r="B261" s="450" t="s">
        <v>323</v>
      </c>
      <c r="C261" s="458" t="s">
        <v>331</v>
      </c>
      <c r="D261" s="449">
        <v>38699</v>
      </c>
      <c r="E261" s="450" t="s">
        <v>245</v>
      </c>
      <c r="F261" s="467">
        <v>1</v>
      </c>
      <c r="G261" s="467" t="s">
        <v>321</v>
      </c>
      <c r="H261" s="468" t="s">
        <v>322</v>
      </c>
      <c r="I261" s="450" t="s">
        <v>322</v>
      </c>
      <c r="J261" s="450" t="s">
        <v>322</v>
      </c>
      <c r="K261" s="469">
        <v>10</v>
      </c>
      <c r="L261" s="470" t="s">
        <v>322</v>
      </c>
      <c r="M261" s="509"/>
    </row>
    <row r="262" spans="1:13" ht="12.75">
      <c r="A262" s="466" t="s">
        <v>318</v>
      </c>
      <c r="B262" s="450" t="s">
        <v>323</v>
      </c>
      <c r="C262" s="458" t="s">
        <v>332</v>
      </c>
      <c r="D262" s="449">
        <v>36591</v>
      </c>
      <c r="E262" s="450" t="s">
        <v>245</v>
      </c>
      <c r="F262" s="467">
        <v>0.5</v>
      </c>
      <c r="G262" s="467" t="s">
        <v>321</v>
      </c>
      <c r="H262" s="468" t="s">
        <v>322</v>
      </c>
      <c r="I262" s="450" t="s">
        <v>322</v>
      </c>
      <c r="J262" s="450" t="s">
        <v>322</v>
      </c>
      <c r="K262" s="469">
        <v>11</v>
      </c>
      <c r="L262" s="470" t="s">
        <v>322</v>
      </c>
      <c r="M262" s="509"/>
    </row>
    <row r="263" spans="1:13" ht="12.75">
      <c r="A263" s="466" t="s">
        <v>318</v>
      </c>
      <c r="B263" s="450" t="s">
        <v>323</v>
      </c>
      <c r="C263" s="458" t="s">
        <v>332</v>
      </c>
      <c r="D263" s="449">
        <v>36682</v>
      </c>
      <c r="E263" s="450" t="s">
        <v>322</v>
      </c>
      <c r="F263" s="467">
        <v>1.1</v>
      </c>
      <c r="G263" s="467" t="s">
        <v>321</v>
      </c>
      <c r="H263" s="468" t="s">
        <v>322</v>
      </c>
      <c r="I263" s="450" t="s">
        <v>322</v>
      </c>
      <c r="J263" s="450" t="s">
        <v>322</v>
      </c>
      <c r="K263" s="469">
        <v>11</v>
      </c>
      <c r="L263" s="470" t="s">
        <v>322</v>
      </c>
      <c r="M263" s="509"/>
    </row>
    <row r="264" spans="1:13" ht="12.75">
      <c r="A264" s="466" t="s">
        <v>318</v>
      </c>
      <c r="B264" s="450" t="s">
        <v>323</v>
      </c>
      <c r="C264" s="458" t="s">
        <v>332</v>
      </c>
      <c r="D264" s="449">
        <v>36775</v>
      </c>
      <c r="E264" s="450" t="s">
        <v>245</v>
      </c>
      <c r="F264" s="467">
        <v>0.5</v>
      </c>
      <c r="G264" s="467" t="s">
        <v>321</v>
      </c>
      <c r="H264" s="468" t="s">
        <v>322</v>
      </c>
      <c r="I264" s="450" t="s">
        <v>322</v>
      </c>
      <c r="J264" s="450" t="s">
        <v>322</v>
      </c>
      <c r="K264" s="469">
        <v>11</v>
      </c>
      <c r="L264" s="470" t="s">
        <v>322</v>
      </c>
      <c r="M264" s="509"/>
    </row>
    <row r="265" spans="1:13" ht="12.75">
      <c r="A265" s="466" t="s">
        <v>318</v>
      </c>
      <c r="B265" s="450" t="s">
        <v>323</v>
      </c>
      <c r="C265" s="458" t="s">
        <v>332</v>
      </c>
      <c r="D265" s="449">
        <v>36865</v>
      </c>
      <c r="E265" s="450" t="s">
        <v>245</v>
      </c>
      <c r="F265" s="467">
        <v>0.5</v>
      </c>
      <c r="G265" s="467" t="s">
        <v>321</v>
      </c>
      <c r="H265" s="468" t="s">
        <v>322</v>
      </c>
      <c r="I265" s="450" t="s">
        <v>322</v>
      </c>
      <c r="J265" s="450" t="s">
        <v>322</v>
      </c>
      <c r="K265" s="469">
        <v>11</v>
      </c>
      <c r="L265" s="470" t="s">
        <v>322</v>
      </c>
      <c r="M265" s="509"/>
    </row>
    <row r="266" spans="1:13" ht="12.75">
      <c r="A266" s="466" t="s">
        <v>318</v>
      </c>
      <c r="B266" s="450" t="s">
        <v>323</v>
      </c>
      <c r="C266" s="458" t="s">
        <v>332</v>
      </c>
      <c r="D266" s="449">
        <v>36957</v>
      </c>
      <c r="E266" s="450" t="s">
        <v>245</v>
      </c>
      <c r="F266" s="467">
        <v>0.5</v>
      </c>
      <c r="G266" s="467" t="s">
        <v>321</v>
      </c>
      <c r="H266" s="468" t="s">
        <v>322</v>
      </c>
      <c r="I266" s="450" t="s">
        <v>322</v>
      </c>
      <c r="J266" s="450" t="s">
        <v>322</v>
      </c>
      <c r="K266" s="469">
        <v>11</v>
      </c>
      <c r="L266" s="470" t="s">
        <v>322</v>
      </c>
      <c r="M266" s="509"/>
    </row>
    <row r="267" spans="1:13" ht="12.75">
      <c r="A267" s="466" t="s">
        <v>318</v>
      </c>
      <c r="B267" s="450" t="s">
        <v>323</v>
      </c>
      <c r="C267" s="458" t="s">
        <v>332</v>
      </c>
      <c r="D267" s="449">
        <v>37050</v>
      </c>
      <c r="E267" s="450" t="s">
        <v>245</v>
      </c>
      <c r="F267" s="467">
        <v>0.1</v>
      </c>
      <c r="G267" s="467" t="s">
        <v>321</v>
      </c>
      <c r="H267" s="468" t="s">
        <v>322</v>
      </c>
      <c r="I267" s="450" t="s">
        <v>322</v>
      </c>
      <c r="J267" s="450" t="s">
        <v>322</v>
      </c>
      <c r="K267" s="469">
        <v>11</v>
      </c>
      <c r="L267" s="470" t="s">
        <v>322</v>
      </c>
      <c r="M267" s="509"/>
    </row>
    <row r="268" spans="1:13" ht="12.75">
      <c r="A268" s="466" t="s">
        <v>318</v>
      </c>
      <c r="B268" s="450" t="s">
        <v>323</v>
      </c>
      <c r="C268" s="458" t="s">
        <v>332</v>
      </c>
      <c r="D268" s="449">
        <v>37139</v>
      </c>
      <c r="E268" s="450" t="s">
        <v>322</v>
      </c>
      <c r="F268" s="467">
        <v>0.1</v>
      </c>
      <c r="G268" s="467" t="s">
        <v>321</v>
      </c>
      <c r="H268" s="468" t="s">
        <v>322</v>
      </c>
      <c r="I268" s="450" t="s">
        <v>322</v>
      </c>
      <c r="J268" s="450" t="s">
        <v>322</v>
      </c>
      <c r="K268" s="469">
        <v>11</v>
      </c>
      <c r="L268" s="470" t="s">
        <v>322</v>
      </c>
      <c r="M268" s="509"/>
    </row>
    <row r="269" spans="1:13" ht="12.75">
      <c r="A269" s="466" t="s">
        <v>318</v>
      </c>
      <c r="B269" s="450" t="s">
        <v>323</v>
      </c>
      <c r="C269" s="458" t="s">
        <v>332</v>
      </c>
      <c r="D269" s="449">
        <v>37231</v>
      </c>
      <c r="E269" s="450" t="s">
        <v>245</v>
      </c>
      <c r="F269" s="467">
        <v>0.1</v>
      </c>
      <c r="G269" s="467" t="s">
        <v>321</v>
      </c>
      <c r="H269" s="468" t="s">
        <v>322</v>
      </c>
      <c r="I269" s="450" t="s">
        <v>322</v>
      </c>
      <c r="J269" s="450" t="s">
        <v>322</v>
      </c>
      <c r="K269" s="469">
        <v>11</v>
      </c>
      <c r="L269" s="470" t="s">
        <v>322</v>
      </c>
      <c r="M269" s="509"/>
    </row>
    <row r="270" spans="1:13" ht="12.75">
      <c r="A270" s="466" t="s">
        <v>318</v>
      </c>
      <c r="B270" s="450" t="s">
        <v>323</v>
      </c>
      <c r="C270" s="458" t="s">
        <v>332</v>
      </c>
      <c r="D270" s="449">
        <v>37336</v>
      </c>
      <c r="E270" s="450" t="s">
        <v>245</v>
      </c>
      <c r="F270" s="467">
        <v>0.1</v>
      </c>
      <c r="G270" s="467" t="s">
        <v>321</v>
      </c>
      <c r="H270" s="468" t="s">
        <v>322</v>
      </c>
      <c r="I270" s="450" t="s">
        <v>322</v>
      </c>
      <c r="J270" s="450" t="s">
        <v>322</v>
      </c>
      <c r="K270" s="469">
        <v>11</v>
      </c>
      <c r="L270" s="470" t="s">
        <v>322</v>
      </c>
      <c r="M270" s="509"/>
    </row>
    <row r="271" spans="1:13" ht="12.75">
      <c r="A271" s="466" t="s">
        <v>318</v>
      </c>
      <c r="B271" s="450" t="s">
        <v>323</v>
      </c>
      <c r="C271" s="458" t="s">
        <v>332</v>
      </c>
      <c r="D271" s="449">
        <v>37428</v>
      </c>
      <c r="E271" s="450" t="s">
        <v>245</v>
      </c>
      <c r="F271" s="467">
        <v>0.1</v>
      </c>
      <c r="G271" s="467" t="s">
        <v>321</v>
      </c>
      <c r="H271" s="468" t="s">
        <v>322</v>
      </c>
      <c r="I271" s="450" t="s">
        <v>322</v>
      </c>
      <c r="J271" s="450" t="s">
        <v>322</v>
      </c>
      <c r="K271" s="469">
        <v>11</v>
      </c>
      <c r="L271" s="470" t="s">
        <v>322</v>
      </c>
      <c r="M271" s="509"/>
    </row>
    <row r="272" spans="1:13" ht="12.75">
      <c r="A272" s="466" t="s">
        <v>318</v>
      </c>
      <c r="B272" s="450" t="s">
        <v>323</v>
      </c>
      <c r="C272" s="458" t="s">
        <v>332</v>
      </c>
      <c r="D272" s="449">
        <v>37518</v>
      </c>
      <c r="E272" s="450" t="s">
        <v>245</v>
      </c>
      <c r="F272" s="467">
        <v>0.1</v>
      </c>
      <c r="G272" s="467" t="s">
        <v>321</v>
      </c>
      <c r="H272" s="468" t="s">
        <v>322</v>
      </c>
      <c r="I272" s="450" t="s">
        <v>322</v>
      </c>
      <c r="J272" s="450" t="s">
        <v>322</v>
      </c>
      <c r="K272" s="469">
        <v>11</v>
      </c>
      <c r="L272" s="470" t="s">
        <v>322</v>
      </c>
      <c r="M272" s="509"/>
    </row>
    <row r="273" spans="1:13" ht="12.75">
      <c r="A273" s="466" t="s">
        <v>318</v>
      </c>
      <c r="B273" s="450" t="s">
        <v>323</v>
      </c>
      <c r="C273" s="458" t="s">
        <v>332</v>
      </c>
      <c r="D273" s="449">
        <v>37610</v>
      </c>
      <c r="E273" s="450" t="s">
        <v>245</v>
      </c>
      <c r="F273" s="467">
        <v>0.1</v>
      </c>
      <c r="G273" s="467" t="s">
        <v>321</v>
      </c>
      <c r="H273" s="468" t="s">
        <v>322</v>
      </c>
      <c r="I273" s="450" t="s">
        <v>322</v>
      </c>
      <c r="J273" s="450" t="s">
        <v>322</v>
      </c>
      <c r="K273" s="469">
        <v>11</v>
      </c>
      <c r="L273" s="470" t="s">
        <v>322</v>
      </c>
      <c r="M273" s="509"/>
    </row>
    <row r="274" spans="1:13" ht="12.75">
      <c r="A274" s="466" t="s">
        <v>318</v>
      </c>
      <c r="B274" s="450" t="s">
        <v>323</v>
      </c>
      <c r="C274" s="458" t="s">
        <v>332</v>
      </c>
      <c r="D274" s="449">
        <v>37701</v>
      </c>
      <c r="E274" s="450" t="s">
        <v>245</v>
      </c>
      <c r="F274" s="467">
        <v>0.1</v>
      </c>
      <c r="G274" s="467" t="s">
        <v>321</v>
      </c>
      <c r="H274" s="468" t="s">
        <v>322</v>
      </c>
      <c r="I274" s="450" t="s">
        <v>322</v>
      </c>
      <c r="J274" s="450" t="s">
        <v>322</v>
      </c>
      <c r="K274" s="469">
        <v>11</v>
      </c>
      <c r="L274" s="470" t="s">
        <v>322</v>
      </c>
      <c r="M274" s="509"/>
    </row>
    <row r="275" spans="1:13" ht="12.75">
      <c r="A275" s="466" t="s">
        <v>318</v>
      </c>
      <c r="B275" s="450" t="s">
        <v>323</v>
      </c>
      <c r="C275" s="458" t="s">
        <v>332</v>
      </c>
      <c r="D275" s="449">
        <v>37782</v>
      </c>
      <c r="E275" s="450" t="s">
        <v>245</v>
      </c>
      <c r="F275" s="467">
        <v>0.1</v>
      </c>
      <c r="G275" s="467" t="s">
        <v>321</v>
      </c>
      <c r="H275" s="468" t="s">
        <v>322</v>
      </c>
      <c r="I275" s="450" t="s">
        <v>322</v>
      </c>
      <c r="J275" s="450" t="s">
        <v>322</v>
      </c>
      <c r="K275" s="469">
        <v>11</v>
      </c>
      <c r="L275" s="470" t="s">
        <v>322</v>
      </c>
      <c r="M275" s="509"/>
    </row>
    <row r="276" spans="1:13" ht="12.75">
      <c r="A276" s="466" t="s">
        <v>318</v>
      </c>
      <c r="B276" s="450" t="s">
        <v>323</v>
      </c>
      <c r="C276" s="458" t="s">
        <v>332</v>
      </c>
      <c r="D276" s="449">
        <v>37874</v>
      </c>
      <c r="E276" s="450" t="s">
        <v>245</v>
      </c>
      <c r="F276" s="467">
        <v>0.1</v>
      </c>
      <c r="G276" s="467" t="s">
        <v>321</v>
      </c>
      <c r="H276" s="468" t="s">
        <v>322</v>
      </c>
      <c r="I276" s="450" t="s">
        <v>322</v>
      </c>
      <c r="J276" s="450" t="s">
        <v>322</v>
      </c>
      <c r="K276" s="469">
        <v>11</v>
      </c>
      <c r="L276" s="470" t="s">
        <v>322</v>
      </c>
      <c r="M276" s="509"/>
    </row>
    <row r="277" spans="1:13" ht="12.75">
      <c r="A277" s="466" t="s">
        <v>318</v>
      </c>
      <c r="B277" s="450" t="s">
        <v>323</v>
      </c>
      <c r="C277" s="458" t="s">
        <v>332</v>
      </c>
      <c r="D277" s="449">
        <v>38055</v>
      </c>
      <c r="E277" s="450" t="s">
        <v>245</v>
      </c>
      <c r="F277" s="467">
        <v>0.1</v>
      </c>
      <c r="G277" s="467" t="s">
        <v>321</v>
      </c>
      <c r="H277" s="468" t="s">
        <v>322</v>
      </c>
      <c r="I277" s="450" t="s">
        <v>322</v>
      </c>
      <c r="J277" s="450" t="s">
        <v>322</v>
      </c>
      <c r="K277" s="469">
        <v>11</v>
      </c>
      <c r="L277" s="470" t="s">
        <v>322</v>
      </c>
      <c r="M277" s="509"/>
    </row>
    <row r="278" spans="1:13" ht="12.75">
      <c r="A278" s="466" t="s">
        <v>318</v>
      </c>
      <c r="B278" s="450" t="s">
        <v>323</v>
      </c>
      <c r="C278" s="458" t="s">
        <v>332</v>
      </c>
      <c r="D278" s="449">
        <v>38146</v>
      </c>
      <c r="E278" s="450" t="s">
        <v>245</v>
      </c>
      <c r="F278" s="467">
        <v>0.1</v>
      </c>
      <c r="G278" s="467" t="s">
        <v>321</v>
      </c>
      <c r="H278" s="468" t="s">
        <v>322</v>
      </c>
      <c r="I278" s="450" t="s">
        <v>322</v>
      </c>
      <c r="J278" s="450" t="s">
        <v>322</v>
      </c>
      <c r="K278" s="469">
        <v>11</v>
      </c>
      <c r="L278" s="470" t="s">
        <v>322</v>
      </c>
      <c r="M278" s="509"/>
    </row>
    <row r="279" spans="1:13" ht="12.75">
      <c r="A279" s="466" t="s">
        <v>318</v>
      </c>
      <c r="B279" s="450" t="s">
        <v>323</v>
      </c>
      <c r="C279" s="458" t="s">
        <v>332</v>
      </c>
      <c r="D279" s="449">
        <v>38239</v>
      </c>
      <c r="E279" s="450" t="s">
        <v>245</v>
      </c>
      <c r="F279" s="467">
        <v>0.1</v>
      </c>
      <c r="G279" s="467" t="s">
        <v>321</v>
      </c>
      <c r="H279" s="468" t="s">
        <v>322</v>
      </c>
      <c r="I279" s="450" t="s">
        <v>322</v>
      </c>
      <c r="J279" s="450" t="s">
        <v>322</v>
      </c>
      <c r="K279" s="469">
        <v>11</v>
      </c>
      <c r="L279" s="470" t="s">
        <v>322</v>
      </c>
      <c r="M279" s="509"/>
    </row>
    <row r="280" spans="1:13" ht="12.75">
      <c r="A280" s="466" t="s">
        <v>318</v>
      </c>
      <c r="B280" s="450" t="s">
        <v>323</v>
      </c>
      <c r="C280" s="458" t="s">
        <v>332</v>
      </c>
      <c r="D280" s="449">
        <v>38328</v>
      </c>
      <c r="E280" s="450" t="s">
        <v>245</v>
      </c>
      <c r="F280" s="467">
        <v>0.1</v>
      </c>
      <c r="G280" s="467" t="s">
        <v>321</v>
      </c>
      <c r="H280" s="468" t="s">
        <v>322</v>
      </c>
      <c r="I280" s="450" t="s">
        <v>322</v>
      </c>
      <c r="J280" s="450" t="s">
        <v>322</v>
      </c>
      <c r="K280" s="469">
        <v>11</v>
      </c>
      <c r="L280" s="470" t="s">
        <v>322</v>
      </c>
      <c r="M280" s="509"/>
    </row>
    <row r="281" spans="1:13" ht="12.75">
      <c r="A281" s="466" t="s">
        <v>318</v>
      </c>
      <c r="B281" s="450" t="s">
        <v>323</v>
      </c>
      <c r="C281" s="458" t="s">
        <v>332</v>
      </c>
      <c r="D281" s="449">
        <v>38419</v>
      </c>
      <c r="E281" s="450" t="s">
        <v>245</v>
      </c>
      <c r="F281" s="467">
        <v>0.1</v>
      </c>
      <c r="G281" s="467" t="s">
        <v>321</v>
      </c>
      <c r="H281" s="468" t="s">
        <v>322</v>
      </c>
      <c r="I281" s="450" t="s">
        <v>322</v>
      </c>
      <c r="J281" s="450" t="s">
        <v>322</v>
      </c>
      <c r="K281" s="469">
        <v>11</v>
      </c>
      <c r="L281" s="470" t="s">
        <v>322</v>
      </c>
      <c r="M281" s="509"/>
    </row>
    <row r="282" spans="1:13" ht="12.75">
      <c r="A282" s="466" t="s">
        <v>318</v>
      </c>
      <c r="B282" s="450" t="s">
        <v>323</v>
      </c>
      <c r="C282" s="458" t="s">
        <v>332</v>
      </c>
      <c r="D282" s="449">
        <v>38511</v>
      </c>
      <c r="E282" s="450" t="s">
        <v>245</v>
      </c>
      <c r="F282" s="467">
        <v>0.1</v>
      </c>
      <c r="G282" s="467" t="s">
        <v>321</v>
      </c>
      <c r="H282" s="468" t="s">
        <v>322</v>
      </c>
      <c r="I282" s="450" t="s">
        <v>322</v>
      </c>
      <c r="J282" s="450" t="s">
        <v>322</v>
      </c>
      <c r="K282" s="469">
        <v>11</v>
      </c>
      <c r="L282" s="470" t="s">
        <v>322</v>
      </c>
      <c r="M282" s="509"/>
    </row>
    <row r="283" spans="1:13" ht="12.75">
      <c r="A283" s="466" t="s">
        <v>318</v>
      </c>
      <c r="B283" s="450" t="s">
        <v>323</v>
      </c>
      <c r="C283" s="458" t="s">
        <v>332</v>
      </c>
      <c r="D283" s="449">
        <v>38602</v>
      </c>
      <c r="E283" s="450" t="s">
        <v>245</v>
      </c>
      <c r="F283" s="467">
        <v>0.1</v>
      </c>
      <c r="G283" s="467" t="s">
        <v>321</v>
      </c>
      <c r="H283" s="468" t="s">
        <v>322</v>
      </c>
      <c r="I283" s="450" t="s">
        <v>322</v>
      </c>
      <c r="J283" s="450" t="s">
        <v>322</v>
      </c>
      <c r="K283" s="469">
        <v>11</v>
      </c>
      <c r="L283" s="470" t="s">
        <v>322</v>
      </c>
      <c r="M283" s="509"/>
    </row>
    <row r="284" spans="1:13" ht="12.75">
      <c r="A284" s="466" t="s">
        <v>318</v>
      </c>
      <c r="B284" s="450" t="s">
        <v>323</v>
      </c>
      <c r="C284" s="458" t="s">
        <v>332</v>
      </c>
      <c r="D284" s="449">
        <v>38699</v>
      </c>
      <c r="E284" s="450" t="s">
        <v>245</v>
      </c>
      <c r="F284" s="467">
        <v>0.1</v>
      </c>
      <c r="G284" s="467" t="s">
        <v>321</v>
      </c>
      <c r="H284" s="468" t="s">
        <v>322</v>
      </c>
      <c r="I284" s="450" t="s">
        <v>322</v>
      </c>
      <c r="J284" s="450" t="s">
        <v>322</v>
      </c>
      <c r="K284" s="469">
        <v>11</v>
      </c>
      <c r="L284" s="470" t="s">
        <v>322</v>
      </c>
      <c r="M284" s="509"/>
    </row>
    <row r="285" spans="1:13" ht="12.75">
      <c r="A285" s="466" t="s">
        <v>318</v>
      </c>
      <c r="B285" s="450" t="s">
        <v>319</v>
      </c>
      <c r="C285" s="458" t="s">
        <v>49</v>
      </c>
      <c r="D285" s="449">
        <v>37518</v>
      </c>
      <c r="E285" s="450" t="s">
        <v>245</v>
      </c>
      <c r="F285" s="467">
        <v>0.1</v>
      </c>
      <c r="G285" s="467" t="s">
        <v>321</v>
      </c>
      <c r="H285" s="468">
        <v>0.1</v>
      </c>
      <c r="I285" s="450">
        <v>0.03</v>
      </c>
      <c r="J285" s="450" t="s">
        <v>322</v>
      </c>
      <c r="K285" s="469">
        <v>12</v>
      </c>
      <c r="L285" s="470" t="s">
        <v>322</v>
      </c>
      <c r="M285" s="509"/>
    </row>
    <row r="286" spans="1:13" ht="12.75">
      <c r="A286" s="466" t="s">
        <v>318</v>
      </c>
      <c r="B286" s="450" t="s">
        <v>319</v>
      </c>
      <c r="C286" s="458" t="s">
        <v>49</v>
      </c>
      <c r="D286" s="487">
        <v>37591</v>
      </c>
      <c r="E286" s="460" t="s">
        <v>245</v>
      </c>
      <c r="F286" s="467">
        <v>0.03</v>
      </c>
      <c r="G286" s="467" t="s">
        <v>321</v>
      </c>
      <c r="H286" s="468">
        <v>0.1</v>
      </c>
      <c r="I286" s="450">
        <v>0.03</v>
      </c>
      <c r="J286" s="450"/>
      <c r="K286" s="469">
        <v>12</v>
      </c>
      <c r="L286" s="470"/>
      <c r="M286" s="509"/>
    </row>
    <row r="287" spans="1:13" ht="12.75">
      <c r="A287" s="466" t="s">
        <v>318</v>
      </c>
      <c r="B287" s="450" t="s">
        <v>319</v>
      </c>
      <c r="C287" s="458" t="s">
        <v>49</v>
      </c>
      <c r="D287" s="487">
        <v>37681</v>
      </c>
      <c r="E287" s="460" t="s">
        <v>245</v>
      </c>
      <c r="F287" s="467">
        <v>0.03</v>
      </c>
      <c r="G287" s="467" t="s">
        <v>321</v>
      </c>
      <c r="H287" s="468">
        <v>0.1</v>
      </c>
      <c r="I287" s="450">
        <v>0.03</v>
      </c>
      <c r="J287" s="450"/>
      <c r="K287" s="469">
        <v>12</v>
      </c>
      <c r="L287" s="470"/>
      <c r="M287" s="509"/>
    </row>
    <row r="288" spans="1:13" ht="12.75">
      <c r="A288" s="466" t="s">
        <v>318</v>
      </c>
      <c r="B288" s="450" t="s">
        <v>319</v>
      </c>
      <c r="C288" s="458" t="s">
        <v>49</v>
      </c>
      <c r="D288" s="487">
        <v>37773</v>
      </c>
      <c r="E288" s="460" t="s">
        <v>245</v>
      </c>
      <c r="F288" s="467">
        <v>0.03</v>
      </c>
      <c r="G288" s="467" t="s">
        <v>321</v>
      </c>
      <c r="H288" s="468">
        <v>0.1</v>
      </c>
      <c r="I288" s="450">
        <v>0.03</v>
      </c>
      <c r="J288" s="450"/>
      <c r="K288" s="469">
        <v>12</v>
      </c>
      <c r="L288" s="470"/>
      <c r="M288" s="509"/>
    </row>
    <row r="289" spans="1:13" ht="12.75">
      <c r="A289" s="466" t="s">
        <v>318</v>
      </c>
      <c r="B289" s="450" t="s">
        <v>319</v>
      </c>
      <c r="C289" s="458" t="s">
        <v>49</v>
      </c>
      <c r="D289" s="487">
        <v>37865</v>
      </c>
      <c r="E289" s="450" t="s">
        <v>259</v>
      </c>
      <c r="F289" s="460">
        <v>0.06</v>
      </c>
      <c r="G289" s="467" t="s">
        <v>321</v>
      </c>
      <c r="H289" s="468">
        <v>0.1</v>
      </c>
      <c r="I289" s="450">
        <v>0.03</v>
      </c>
      <c r="J289" s="450"/>
      <c r="K289" s="469">
        <v>12</v>
      </c>
      <c r="L289" s="470"/>
      <c r="M289" s="509"/>
    </row>
    <row r="290" spans="1:13" ht="12.75">
      <c r="A290" s="466" t="s">
        <v>318</v>
      </c>
      <c r="B290" s="450" t="s">
        <v>319</v>
      </c>
      <c r="C290" s="458" t="s">
        <v>49</v>
      </c>
      <c r="D290" s="487">
        <v>37956</v>
      </c>
      <c r="E290" s="450" t="s">
        <v>259</v>
      </c>
      <c r="F290" s="460">
        <v>0.05</v>
      </c>
      <c r="G290" s="467" t="s">
        <v>321</v>
      </c>
      <c r="H290" s="468">
        <v>0.1</v>
      </c>
      <c r="I290" s="450">
        <v>0.03</v>
      </c>
      <c r="J290" s="450"/>
      <c r="K290" s="469">
        <v>12</v>
      </c>
      <c r="L290" s="470"/>
      <c r="M290" s="509"/>
    </row>
    <row r="291" spans="1:13" ht="12.75">
      <c r="A291" s="466" t="s">
        <v>318</v>
      </c>
      <c r="B291" s="450" t="s">
        <v>319</v>
      </c>
      <c r="C291" s="458" t="s">
        <v>49</v>
      </c>
      <c r="D291" s="487">
        <v>38047</v>
      </c>
      <c r="E291" s="460" t="s">
        <v>245</v>
      </c>
      <c r="F291" s="467">
        <v>0.03</v>
      </c>
      <c r="G291" s="467" t="s">
        <v>321</v>
      </c>
      <c r="H291" s="468">
        <v>0.1</v>
      </c>
      <c r="I291" s="450">
        <v>0.03</v>
      </c>
      <c r="J291" s="450"/>
      <c r="K291" s="469">
        <v>12</v>
      </c>
      <c r="L291" s="470"/>
      <c r="M291" s="509"/>
    </row>
    <row r="292" spans="1:13" ht="12.75">
      <c r="A292" s="466" t="s">
        <v>318</v>
      </c>
      <c r="B292" s="450" t="s">
        <v>319</v>
      </c>
      <c r="C292" s="458" t="s">
        <v>49</v>
      </c>
      <c r="D292" s="487">
        <v>38139</v>
      </c>
      <c r="E292" s="460" t="s">
        <v>245</v>
      </c>
      <c r="F292" s="467">
        <v>0.03</v>
      </c>
      <c r="G292" s="467" t="s">
        <v>321</v>
      </c>
      <c r="H292" s="468">
        <v>0.1</v>
      </c>
      <c r="I292" s="450">
        <v>0.03</v>
      </c>
      <c r="J292" s="450"/>
      <c r="K292" s="469">
        <v>12</v>
      </c>
      <c r="L292" s="470"/>
      <c r="M292" s="509"/>
    </row>
    <row r="293" spans="1:13" ht="12.75">
      <c r="A293" s="466" t="s">
        <v>318</v>
      </c>
      <c r="B293" s="450" t="s">
        <v>319</v>
      </c>
      <c r="C293" s="458" t="s">
        <v>49</v>
      </c>
      <c r="D293" s="487">
        <v>38231</v>
      </c>
      <c r="E293" s="460" t="s">
        <v>245</v>
      </c>
      <c r="F293" s="467">
        <v>0.03</v>
      </c>
      <c r="G293" s="467" t="s">
        <v>321</v>
      </c>
      <c r="H293" s="468">
        <v>0.1</v>
      </c>
      <c r="I293" s="450">
        <v>0.03</v>
      </c>
      <c r="J293" s="450"/>
      <c r="K293" s="469">
        <v>12</v>
      </c>
      <c r="L293" s="470"/>
      <c r="M293" s="509"/>
    </row>
    <row r="294" spans="1:13" ht="12.75">
      <c r="A294" s="466" t="s">
        <v>318</v>
      </c>
      <c r="B294" s="450" t="s">
        <v>319</v>
      </c>
      <c r="C294" s="458" t="s">
        <v>49</v>
      </c>
      <c r="D294" s="487">
        <v>38322</v>
      </c>
      <c r="E294" s="460" t="s">
        <v>245</v>
      </c>
      <c r="F294" s="467">
        <v>0.03</v>
      </c>
      <c r="G294" s="467" t="s">
        <v>321</v>
      </c>
      <c r="H294" s="468">
        <v>0.1</v>
      </c>
      <c r="I294" s="450">
        <v>0.03</v>
      </c>
      <c r="J294" s="450"/>
      <c r="K294" s="469">
        <v>12</v>
      </c>
      <c r="L294" s="470"/>
      <c r="M294" s="509"/>
    </row>
    <row r="295" spans="1:13" ht="12.75">
      <c r="A295" s="466" t="s">
        <v>318</v>
      </c>
      <c r="B295" s="450" t="s">
        <v>319</v>
      </c>
      <c r="C295" s="458" t="s">
        <v>49</v>
      </c>
      <c r="D295" s="487">
        <v>38412</v>
      </c>
      <c r="E295" s="460" t="s">
        <v>245</v>
      </c>
      <c r="F295" s="467">
        <v>0.03</v>
      </c>
      <c r="G295" s="467" t="s">
        <v>321</v>
      </c>
      <c r="H295" s="468">
        <v>0.1</v>
      </c>
      <c r="I295" s="450">
        <v>0.03</v>
      </c>
      <c r="J295" s="450"/>
      <c r="K295" s="469">
        <v>12</v>
      </c>
      <c r="L295" s="470"/>
      <c r="M295" s="509"/>
    </row>
    <row r="296" spans="1:13" ht="12.75">
      <c r="A296" s="466" t="s">
        <v>318</v>
      </c>
      <c r="B296" s="450" t="s">
        <v>319</v>
      </c>
      <c r="C296" s="458" t="s">
        <v>49</v>
      </c>
      <c r="D296" s="487">
        <v>38504</v>
      </c>
      <c r="E296" s="460" t="s">
        <v>245</v>
      </c>
      <c r="F296" s="467">
        <v>0.03</v>
      </c>
      <c r="G296" s="467" t="s">
        <v>321</v>
      </c>
      <c r="H296" s="468">
        <v>0.1</v>
      </c>
      <c r="I296" s="450">
        <v>0.03</v>
      </c>
      <c r="J296" s="450"/>
      <c r="K296" s="469">
        <v>12</v>
      </c>
      <c r="L296" s="470"/>
      <c r="M296" s="509"/>
    </row>
    <row r="297" spans="1:13" ht="12.75">
      <c r="A297" s="466" t="s">
        <v>318</v>
      </c>
      <c r="B297" s="450" t="s">
        <v>319</v>
      </c>
      <c r="C297" s="458" t="s">
        <v>49</v>
      </c>
      <c r="D297" s="487">
        <v>38596</v>
      </c>
      <c r="E297" s="460" t="s">
        <v>245</v>
      </c>
      <c r="F297" s="467">
        <v>0.03</v>
      </c>
      <c r="G297" s="467" t="s">
        <v>321</v>
      </c>
      <c r="H297" s="468">
        <v>0.1</v>
      </c>
      <c r="I297" s="450">
        <v>0.03</v>
      </c>
      <c r="J297" s="450"/>
      <c r="K297" s="469">
        <v>12</v>
      </c>
      <c r="L297" s="470"/>
      <c r="M297" s="509"/>
    </row>
    <row r="298" spans="1:13" ht="12.75">
      <c r="A298" s="466" t="s">
        <v>318</v>
      </c>
      <c r="B298" s="450" t="s">
        <v>323</v>
      </c>
      <c r="C298" s="458" t="s">
        <v>333</v>
      </c>
      <c r="D298" s="449">
        <v>36957</v>
      </c>
      <c r="E298" s="450" t="s">
        <v>322</v>
      </c>
      <c r="F298" s="467">
        <v>20</v>
      </c>
      <c r="G298" s="467" t="s">
        <v>321</v>
      </c>
      <c r="H298" s="468" t="s">
        <v>322</v>
      </c>
      <c r="I298" s="450" t="s">
        <v>322</v>
      </c>
      <c r="J298" s="450" t="s">
        <v>322</v>
      </c>
      <c r="K298" s="469">
        <v>13</v>
      </c>
      <c r="L298" s="470" t="s">
        <v>322</v>
      </c>
      <c r="M298" s="509"/>
    </row>
    <row r="299" spans="1:13" ht="12.75">
      <c r="A299" s="466" t="s">
        <v>318</v>
      </c>
      <c r="B299" s="450" t="s">
        <v>323</v>
      </c>
      <c r="C299" s="458" t="s">
        <v>333</v>
      </c>
      <c r="D299" s="449">
        <v>37050</v>
      </c>
      <c r="E299" s="450" t="s">
        <v>322</v>
      </c>
      <c r="F299" s="467">
        <v>40</v>
      </c>
      <c r="G299" s="467" t="s">
        <v>321</v>
      </c>
      <c r="H299" s="468" t="s">
        <v>322</v>
      </c>
      <c r="I299" s="450" t="s">
        <v>322</v>
      </c>
      <c r="J299" s="450" t="s">
        <v>322</v>
      </c>
      <c r="K299" s="469">
        <v>13</v>
      </c>
      <c r="L299" s="470" t="s">
        <v>322</v>
      </c>
      <c r="M299" s="509"/>
    </row>
    <row r="300" spans="1:13" ht="12.75">
      <c r="A300" s="466" t="s">
        <v>318</v>
      </c>
      <c r="B300" s="450" t="s">
        <v>323</v>
      </c>
      <c r="C300" s="458" t="s">
        <v>333</v>
      </c>
      <c r="D300" s="449">
        <v>37139</v>
      </c>
      <c r="E300" s="450" t="s">
        <v>322</v>
      </c>
      <c r="F300" s="467">
        <v>50</v>
      </c>
      <c r="G300" s="467" t="s">
        <v>321</v>
      </c>
      <c r="H300" s="468" t="s">
        <v>322</v>
      </c>
      <c r="I300" s="450" t="s">
        <v>322</v>
      </c>
      <c r="J300" s="450" t="s">
        <v>322</v>
      </c>
      <c r="K300" s="469">
        <v>13</v>
      </c>
      <c r="L300" s="470" t="s">
        <v>322</v>
      </c>
      <c r="M300" s="509"/>
    </row>
    <row r="301" spans="1:13" ht="12.75">
      <c r="A301" s="466" t="s">
        <v>318</v>
      </c>
      <c r="B301" s="450" t="s">
        <v>323</v>
      </c>
      <c r="C301" s="458" t="s">
        <v>333</v>
      </c>
      <c r="D301" s="449">
        <v>37231</v>
      </c>
      <c r="E301" s="450" t="s">
        <v>322</v>
      </c>
      <c r="F301" s="467">
        <v>20</v>
      </c>
      <c r="G301" s="467" t="s">
        <v>321</v>
      </c>
      <c r="H301" s="468" t="s">
        <v>322</v>
      </c>
      <c r="I301" s="450" t="s">
        <v>322</v>
      </c>
      <c r="J301" s="450" t="s">
        <v>322</v>
      </c>
      <c r="K301" s="469">
        <v>13</v>
      </c>
      <c r="L301" s="470" t="s">
        <v>322</v>
      </c>
      <c r="M301" s="509"/>
    </row>
    <row r="302" spans="1:13" ht="12.75">
      <c r="A302" s="466" t="s">
        <v>318</v>
      </c>
      <c r="B302" s="450" t="s">
        <v>323</v>
      </c>
      <c r="C302" s="458" t="s">
        <v>333</v>
      </c>
      <c r="D302" s="449">
        <v>37336</v>
      </c>
      <c r="E302" s="450" t="s">
        <v>322</v>
      </c>
      <c r="F302" s="467">
        <v>60</v>
      </c>
      <c r="G302" s="467" t="s">
        <v>321</v>
      </c>
      <c r="H302" s="468" t="s">
        <v>322</v>
      </c>
      <c r="I302" s="450" t="s">
        <v>322</v>
      </c>
      <c r="J302" s="450" t="s">
        <v>322</v>
      </c>
      <c r="K302" s="469">
        <v>13</v>
      </c>
      <c r="L302" s="470" t="s">
        <v>322</v>
      </c>
      <c r="M302" s="509"/>
    </row>
    <row r="303" spans="1:13" ht="12.75">
      <c r="A303" s="466" t="s">
        <v>318</v>
      </c>
      <c r="B303" s="450" t="s">
        <v>323</v>
      </c>
      <c r="C303" s="458" t="s">
        <v>333</v>
      </c>
      <c r="D303" s="449">
        <v>37428</v>
      </c>
      <c r="E303" s="450" t="s">
        <v>322</v>
      </c>
      <c r="F303" s="467">
        <v>46</v>
      </c>
      <c r="G303" s="467" t="s">
        <v>321</v>
      </c>
      <c r="H303" s="468" t="s">
        <v>322</v>
      </c>
      <c r="I303" s="450" t="s">
        <v>322</v>
      </c>
      <c r="J303" s="450" t="s">
        <v>322</v>
      </c>
      <c r="K303" s="469">
        <v>13</v>
      </c>
      <c r="L303" s="470" t="s">
        <v>322</v>
      </c>
      <c r="M303" s="509"/>
    </row>
    <row r="304" spans="1:13" ht="12.75">
      <c r="A304" s="466" t="s">
        <v>318</v>
      </c>
      <c r="B304" s="450" t="s">
        <v>323</v>
      </c>
      <c r="C304" s="458" t="s">
        <v>333</v>
      </c>
      <c r="D304" s="449">
        <v>37518</v>
      </c>
      <c r="E304" s="450" t="s">
        <v>322</v>
      </c>
      <c r="F304" s="467">
        <v>46</v>
      </c>
      <c r="G304" s="467" t="s">
        <v>321</v>
      </c>
      <c r="H304" s="468" t="s">
        <v>322</v>
      </c>
      <c r="I304" s="450" t="s">
        <v>322</v>
      </c>
      <c r="J304" s="450" t="s">
        <v>322</v>
      </c>
      <c r="K304" s="469">
        <v>13</v>
      </c>
      <c r="L304" s="470" t="s">
        <v>322</v>
      </c>
      <c r="M304" s="509"/>
    </row>
    <row r="305" spans="1:13" ht="12.75">
      <c r="A305" s="466" t="s">
        <v>318</v>
      </c>
      <c r="B305" s="450" t="s">
        <v>323</v>
      </c>
      <c r="C305" s="458" t="s">
        <v>333</v>
      </c>
      <c r="D305" s="449">
        <v>37610</v>
      </c>
      <c r="E305" s="450" t="s">
        <v>322</v>
      </c>
      <c r="F305" s="467">
        <v>10</v>
      </c>
      <c r="G305" s="467" t="s">
        <v>321</v>
      </c>
      <c r="H305" s="468" t="s">
        <v>322</v>
      </c>
      <c r="I305" s="450" t="s">
        <v>322</v>
      </c>
      <c r="J305" s="450" t="s">
        <v>322</v>
      </c>
      <c r="K305" s="469">
        <v>13</v>
      </c>
      <c r="L305" s="470" t="s">
        <v>322</v>
      </c>
      <c r="M305" s="509"/>
    </row>
    <row r="306" spans="1:13" ht="12.75">
      <c r="A306" s="466" t="s">
        <v>318</v>
      </c>
      <c r="B306" s="450" t="s">
        <v>323</v>
      </c>
      <c r="C306" s="458" t="s">
        <v>333</v>
      </c>
      <c r="D306" s="449">
        <v>37701</v>
      </c>
      <c r="E306" s="450" t="s">
        <v>322</v>
      </c>
      <c r="F306" s="467">
        <v>45</v>
      </c>
      <c r="G306" s="467" t="s">
        <v>321</v>
      </c>
      <c r="H306" s="468" t="s">
        <v>322</v>
      </c>
      <c r="I306" s="450" t="s">
        <v>322</v>
      </c>
      <c r="J306" s="450" t="s">
        <v>322</v>
      </c>
      <c r="K306" s="469">
        <v>13</v>
      </c>
      <c r="L306" s="470" t="s">
        <v>322</v>
      </c>
      <c r="M306" s="509"/>
    </row>
    <row r="307" spans="1:13" ht="12.75">
      <c r="A307" s="466" t="s">
        <v>318</v>
      </c>
      <c r="B307" s="450" t="s">
        <v>323</v>
      </c>
      <c r="C307" s="458" t="s">
        <v>333</v>
      </c>
      <c r="D307" s="449">
        <v>37782</v>
      </c>
      <c r="E307" s="450" t="s">
        <v>322</v>
      </c>
      <c r="F307" s="467">
        <v>45</v>
      </c>
      <c r="G307" s="467" t="s">
        <v>321</v>
      </c>
      <c r="H307" s="468" t="s">
        <v>322</v>
      </c>
      <c r="I307" s="450" t="s">
        <v>322</v>
      </c>
      <c r="J307" s="450" t="s">
        <v>322</v>
      </c>
      <c r="K307" s="469">
        <v>13</v>
      </c>
      <c r="L307" s="470" t="s">
        <v>322</v>
      </c>
      <c r="M307" s="509"/>
    </row>
    <row r="308" spans="1:13" ht="12.75">
      <c r="A308" s="466" t="s">
        <v>318</v>
      </c>
      <c r="B308" s="450" t="s">
        <v>323</v>
      </c>
      <c r="C308" s="458" t="s">
        <v>333</v>
      </c>
      <c r="D308" s="449">
        <v>37874</v>
      </c>
      <c r="E308" s="450" t="s">
        <v>322</v>
      </c>
      <c r="F308" s="467">
        <v>25</v>
      </c>
      <c r="G308" s="467" t="s">
        <v>321</v>
      </c>
      <c r="H308" s="468" t="s">
        <v>322</v>
      </c>
      <c r="I308" s="450" t="s">
        <v>322</v>
      </c>
      <c r="J308" s="450" t="s">
        <v>322</v>
      </c>
      <c r="K308" s="469">
        <v>13</v>
      </c>
      <c r="L308" s="470" t="s">
        <v>322</v>
      </c>
      <c r="M308" s="509"/>
    </row>
    <row r="309" spans="1:13" ht="12.75">
      <c r="A309" s="466" t="s">
        <v>318</v>
      </c>
      <c r="B309" s="450" t="s">
        <v>323</v>
      </c>
      <c r="C309" s="458" t="s">
        <v>333</v>
      </c>
      <c r="D309" s="449">
        <v>37964</v>
      </c>
      <c r="E309" s="450" t="s">
        <v>322</v>
      </c>
      <c r="F309" s="467">
        <v>12</v>
      </c>
      <c r="G309" s="467" t="s">
        <v>321</v>
      </c>
      <c r="H309" s="468" t="s">
        <v>322</v>
      </c>
      <c r="I309" s="450" t="s">
        <v>322</v>
      </c>
      <c r="J309" s="450" t="s">
        <v>322</v>
      </c>
      <c r="K309" s="469">
        <v>13</v>
      </c>
      <c r="L309" s="470" t="s">
        <v>322</v>
      </c>
      <c r="M309" s="509"/>
    </row>
    <row r="310" spans="1:13" ht="12.75">
      <c r="A310" s="466" t="s">
        <v>318</v>
      </c>
      <c r="B310" s="450" t="s">
        <v>323</v>
      </c>
      <c r="C310" s="458" t="s">
        <v>333</v>
      </c>
      <c r="D310" s="449">
        <v>38055</v>
      </c>
      <c r="E310" s="450" t="s">
        <v>322</v>
      </c>
      <c r="F310" s="467">
        <v>46</v>
      </c>
      <c r="G310" s="467" t="s">
        <v>321</v>
      </c>
      <c r="H310" s="468" t="s">
        <v>322</v>
      </c>
      <c r="I310" s="450" t="s">
        <v>322</v>
      </c>
      <c r="J310" s="450" t="s">
        <v>322</v>
      </c>
      <c r="K310" s="469">
        <v>13</v>
      </c>
      <c r="L310" s="470" t="s">
        <v>322</v>
      </c>
      <c r="M310" s="509"/>
    </row>
    <row r="311" spans="1:13" ht="12.75">
      <c r="A311" s="466" t="s">
        <v>318</v>
      </c>
      <c r="B311" s="450" t="s">
        <v>323</v>
      </c>
      <c r="C311" s="458" t="s">
        <v>333</v>
      </c>
      <c r="D311" s="449">
        <v>38146</v>
      </c>
      <c r="E311" s="450" t="s">
        <v>322</v>
      </c>
      <c r="F311" s="467">
        <v>43</v>
      </c>
      <c r="G311" s="467" t="s">
        <v>321</v>
      </c>
      <c r="H311" s="468" t="s">
        <v>322</v>
      </c>
      <c r="I311" s="450" t="s">
        <v>322</v>
      </c>
      <c r="J311" s="450" t="s">
        <v>322</v>
      </c>
      <c r="K311" s="469">
        <v>13</v>
      </c>
      <c r="L311" s="470" t="s">
        <v>322</v>
      </c>
      <c r="M311" s="509"/>
    </row>
    <row r="312" spans="1:13" ht="12.75">
      <c r="A312" s="466" t="s">
        <v>318</v>
      </c>
      <c r="B312" s="450" t="s">
        <v>323</v>
      </c>
      <c r="C312" s="458" t="s">
        <v>333</v>
      </c>
      <c r="D312" s="449">
        <v>38239</v>
      </c>
      <c r="E312" s="450" t="s">
        <v>322</v>
      </c>
      <c r="F312" s="467">
        <v>34</v>
      </c>
      <c r="G312" s="467" t="s">
        <v>321</v>
      </c>
      <c r="H312" s="468" t="s">
        <v>322</v>
      </c>
      <c r="I312" s="450" t="s">
        <v>322</v>
      </c>
      <c r="J312" s="450" t="s">
        <v>322</v>
      </c>
      <c r="K312" s="469">
        <v>13</v>
      </c>
      <c r="L312" s="470" t="s">
        <v>322</v>
      </c>
      <c r="M312" s="509"/>
    </row>
    <row r="313" spans="1:13" ht="12.75">
      <c r="A313" s="466" t="s">
        <v>318</v>
      </c>
      <c r="B313" s="450" t="s">
        <v>323</v>
      </c>
      <c r="C313" s="458" t="s">
        <v>333</v>
      </c>
      <c r="D313" s="449">
        <v>38328</v>
      </c>
      <c r="E313" s="450" t="s">
        <v>322</v>
      </c>
      <c r="F313" s="467">
        <v>39</v>
      </c>
      <c r="G313" s="467" t="s">
        <v>321</v>
      </c>
      <c r="H313" s="468" t="s">
        <v>322</v>
      </c>
      <c r="I313" s="450" t="s">
        <v>322</v>
      </c>
      <c r="J313" s="450" t="s">
        <v>322</v>
      </c>
      <c r="K313" s="469">
        <v>13</v>
      </c>
      <c r="L313" s="470" t="s">
        <v>322</v>
      </c>
      <c r="M313" s="509"/>
    </row>
    <row r="314" spans="1:13" ht="12.75">
      <c r="A314" s="466" t="s">
        <v>318</v>
      </c>
      <c r="B314" s="450" t="s">
        <v>323</v>
      </c>
      <c r="C314" s="458" t="s">
        <v>333</v>
      </c>
      <c r="D314" s="449">
        <v>38419</v>
      </c>
      <c r="E314" s="450" t="s">
        <v>322</v>
      </c>
      <c r="F314" s="467">
        <v>23</v>
      </c>
      <c r="G314" s="467" t="s">
        <v>321</v>
      </c>
      <c r="H314" s="468" t="s">
        <v>322</v>
      </c>
      <c r="I314" s="450" t="s">
        <v>322</v>
      </c>
      <c r="J314" s="450" t="s">
        <v>322</v>
      </c>
      <c r="K314" s="469">
        <v>13</v>
      </c>
      <c r="L314" s="470" t="s">
        <v>322</v>
      </c>
      <c r="M314" s="509"/>
    </row>
    <row r="315" spans="1:13" ht="12.75">
      <c r="A315" s="466" t="s">
        <v>318</v>
      </c>
      <c r="B315" s="450" t="s">
        <v>323</v>
      </c>
      <c r="C315" s="458" t="s">
        <v>333</v>
      </c>
      <c r="D315" s="449">
        <v>38511</v>
      </c>
      <c r="E315" s="450" t="s">
        <v>322</v>
      </c>
      <c r="F315" s="467">
        <v>45</v>
      </c>
      <c r="G315" s="467" t="s">
        <v>321</v>
      </c>
      <c r="H315" s="468" t="s">
        <v>322</v>
      </c>
      <c r="I315" s="450" t="s">
        <v>322</v>
      </c>
      <c r="J315" s="450" t="s">
        <v>322</v>
      </c>
      <c r="K315" s="469">
        <v>13</v>
      </c>
      <c r="L315" s="470" t="s">
        <v>322</v>
      </c>
      <c r="M315" s="509"/>
    </row>
    <row r="316" spans="1:13" ht="12.75">
      <c r="A316" s="466" t="s">
        <v>318</v>
      </c>
      <c r="B316" s="450" t="s">
        <v>323</v>
      </c>
      <c r="C316" s="458" t="s">
        <v>333</v>
      </c>
      <c r="D316" s="449">
        <v>38602</v>
      </c>
      <c r="E316" s="450" t="s">
        <v>322</v>
      </c>
      <c r="F316" s="467">
        <v>68</v>
      </c>
      <c r="G316" s="467" t="s">
        <v>321</v>
      </c>
      <c r="H316" s="468" t="s">
        <v>322</v>
      </c>
      <c r="I316" s="450" t="s">
        <v>322</v>
      </c>
      <c r="J316" s="450" t="s">
        <v>322</v>
      </c>
      <c r="K316" s="469">
        <v>13</v>
      </c>
      <c r="L316" s="470" t="s">
        <v>322</v>
      </c>
      <c r="M316" s="509"/>
    </row>
    <row r="317" spans="1:13" ht="12.75">
      <c r="A317" s="466" t="s">
        <v>318</v>
      </c>
      <c r="B317" s="450" t="s">
        <v>323</v>
      </c>
      <c r="C317" s="458" t="s">
        <v>333</v>
      </c>
      <c r="D317" s="449">
        <v>38699</v>
      </c>
      <c r="E317" s="450" t="s">
        <v>322</v>
      </c>
      <c r="F317" s="467">
        <v>43</v>
      </c>
      <c r="G317" s="467" t="s">
        <v>321</v>
      </c>
      <c r="H317" s="468" t="s">
        <v>322</v>
      </c>
      <c r="I317" s="450" t="s">
        <v>322</v>
      </c>
      <c r="J317" s="450" t="s">
        <v>322</v>
      </c>
      <c r="K317" s="469">
        <v>13</v>
      </c>
      <c r="L317" s="470"/>
      <c r="M317" s="509"/>
    </row>
    <row r="318" spans="1:13" ht="12.75">
      <c r="A318" s="466" t="s">
        <v>318</v>
      </c>
      <c r="B318" s="450" t="s">
        <v>323</v>
      </c>
      <c r="C318" s="458" t="s">
        <v>334</v>
      </c>
      <c r="D318" s="449">
        <v>36957</v>
      </c>
      <c r="E318" s="450" t="s">
        <v>245</v>
      </c>
      <c r="F318" s="467">
        <v>4</v>
      </c>
      <c r="G318" s="467" t="s">
        <v>321</v>
      </c>
      <c r="H318" s="468" t="s">
        <v>322</v>
      </c>
      <c r="I318" s="450" t="s">
        <v>322</v>
      </c>
      <c r="J318" s="450" t="s">
        <v>322</v>
      </c>
      <c r="K318" s="469">
        <v>14</v>
      </c>
      <c r="L318" s="470" t="s">
        <v>322</v>
      </c>
      <c r="M318" s="509"/>
    </row>
    <row r="319" spans="1:13" ht="12.75">
      <c r="A319" s="466" t="s">
        <v>318</v>
      </c>
      <c r="B319" s="450" t="s">
        <v>323</v>
      </c>
      <c r="C319" s="458" t="s">
        <v>334</v>
      </c>
      <c r="D319" s="449">
        <v>37050</v>
      </c>
      <c r="E319" s="450" t="s">
        <v>322</v>
      </c>
      <c r="F319" s="467">
        <v>6</v>
      </c>
      <c r="G319" s="467" t="s">
        <v>321</v>
      </c>
      <c r="H319" s="468" t="s">
        <v>322</v>
      </c>
      <c r="I319" s="450" t="s">
        <v>322</v>
      </c>
      <c r="J319" s="450" t="s">
        <v>322</v>
      </c>
      <c r="K319" s="469">
        <v>14</v>
      </c>
      <c r="L319" s="470" t="s">
        <v>322</v>
      </c>
      <c r="M319" s="509"/>
    </row>
    <row r="320" spans="1:13" ht="12.75">
      <c r="A320" s="466" t="s">
        <v>318</v>
      </c>
      <c r="B320" s="450" t="s">
        <v>323</v>
      </c>
      <c r="C320" s="458" t="s">
        <v>334</v>
      </c>
      <c r="D320" s="449">
        <v>37139</v>
      </c>
      <c r="E320" s="450" t="s">
        <v>245</v>
      </c>
      <c r="F320" s="467">
        <v>4</v>
      </c>
      <c r="G320" s="467" t="s">
        <v>321</v>
      </c>
      <c r="H320" s="468" t="s">
        <v>322</v>
      </c>
      <c r="I320" s="450" t="s">
        <v>322</v>
      </c>
      <c r="J320" s="450" t="s">
        <v>322</v>
      </c>
      <c r="K320" s="469">
        <v>14</v>
      </c>
      <c r="L320" s="470" t="s">
        <v>322</v>
      </c>
      <c r="M320" s="509"/>
    </row>
    <row r="321" spans="1:13" ht="12.75">
      <c r="A321" s="466" t="s">
        <v>318</v>
      </c>
      <c r="B321" s="450" t="s">
        <v>323</v>
      </c>
      <c r="C321" s="458" t="s">
        <v>334</v>
      </c>
      <c r="D321" s="449">
        <v>37166</v>
      </c>
      <c r="E321" s="450" t="s">
        <v>322</v>
      </c>
      <c r="F321" s="467">
        <v>1.9</v>
      </c>
      <c r="G321" s="467" t="s">
        <v>321</v>
      </c>
      <c r="H321" s="468" t="s">
        <v>322</v>
      </c>
      <c r="I321" s="450" t="s">
        <v>322</v>
      </c>
      <c r="J321" s="450" t="s">
        <v>322</v>
      </c>
      <c r="K321" s="469">
        <v>14</v>
      </c>
      <c r="L321" s="470" t="s">
        <v>322</v>
      </c>
      <c r="M321" s="509"/>
    </row>
    <row r="322" spans="1:13" ht="12.75">
      <c r="A322" s="466" t="s">
        <v>318</v>
      </c>
      <c r="B322" s="450" t="s">
        <v>323</v>
      </c>
      <c r="C322" s="458" t="s">
        <v>334</v>
      </c>
      <c r="D322" s="449">
        <v>37201</v>
      </c>
      <c r="E322" s="450" t="s">
        <v>322</v>
      </c>
      <c r="F322" s="467">
        <v>7</v>
      </c>
      <c r="G322" s="467" t="s">
        <v>321</v>
      </c>
      <c r="H322" s="468" t="s">
        <v>322</v>
      </c>
      <c r="I322" s="450" t="s">
        <v>322</v>
      </c>
      <c r="J322" s="450" t="s">
        <v>322</v>
      </c>
      <c r="K322" s="469">
        <v>14</v>
      </c>
      <c r="L322" s="470" t="s">
        <v>322</v>
      </c>
      <c r="M322" s="509"/>
    </row>
    <row r="323" spans="1:13" ht="12.75">
      <c r="A323" s="466" t="s">
        <v>318</v>
      </c>
      <c r="B323" s="450" t="s">
        <v>323</v>
      </c>
      <c r="C323" s="458" t="s">
        <v>334</v>
      </c>
      <c r="D323" s="449">
        <v>37231</v>
      </c>
      <c r="E323" s="450" t="s">
        <v>245</v>
      </c>
      <c r="F323" s="467">
        <v>3</v>
      </c>
      <c r="G323" s="467" t="s">
        <v>321</v>
      </c>
      <c r="H323" s="468" t="s">
        <v>322</v>
      </c>
      <c r="I323" s="450" t="s">
        <v>322</v>
      </c>
      <c r="J323" s="450" t="s">
        <v>322</v>
      </c>
      <c r="K323" s="469">
        <v>14</v>
      </c>
      <c r="L323" s="470" t="s">
        <v>322</v>
      </c>
      <c r="M323" s="509"/>
    </row>
    <row r="324" spans="1:13" ht="12.75">
      <c r="A324" s="466" t="s">
        <v>318</v>
      </c>
      <c r="B324" s="450" t="s">
        <v>323</v>
      </c>
      <c r="C324" s="458" t="s">
        <v>334</v>
      </c>
      <c r="D324" s="449">
        <v>37264</v>
      </c>
      <c r="E324" s="450" t="s">
        <v>245</v>
      </c>
      <c r="F324" s="467">
        <v>4</v>
      </c>
      <c r="G324" s="467" t="s">
        <v>321</v>
      </c>
      <c r="H324" s="468" t="s">
        <v>322</v>
      </c>
      <c r="I324" s="450" t="s">
        <v>322</v>
      </c>
      <c r="J324" s="450" t="s">
        <v>322</v>
      </c>
      <c r="K324" s="469">
        <v>14</v>
      </c>
      <c r="L324" s="470" t="s">
        <v>322</v>
      </c>
      <c r="M324" s="509"/>
    </row>
    <row r="325" spans="1:13" ht="12.75">
      <c r="A325" s="466" t="s">
        <v>318</v>
      </c>
      <c r="B325" s="450" t="s">
        <v>323</v>
      </c>
      <c r="C325" s="458" t="s">
        <v>334</v>
      </c>
      <c r="D325" s="449">
        <v>37292</v>
      </c>
      <c r="E325" s="450" t="s">
        <v>245</v>
      </c>
      <c r="F325" s="467">
        <v>4</v>
      </c>
      <c r="G325" s="467" t="s">
        <v>321</v>
      </c>
      <c r="H325" s="468" t="s">
        <v>322</v>
      </c>
      <c r="I325" s="450" t="s">
        <v>322</v>
      </c>
      <c r="J325" s="450" t="s">
        <v>322</v>
      </c>
      <c r="K325" s="469">
        <v>14</v>
      </c>
      <c r="L325" s="470" t="s">
        <v>322</v>
      </c>
      <c r="M325" s="509"/>
    </row>
    <row r="326" spans="1:13" ht="12.75">
      <c r="A326" s="466" t="s">
        <v>318</v>
      </c>
      <c r="B326" s="450" t="s">
        <v>323</v>
      </c>
      <c r="C326" s="458" t="s">
        <v>334</v>
      </c>
      <c r="D326" s="449">
        <v>37342</v>
      </c>
      <c r="E326" s="450" t="s">
        <v>245</v>
      </c>
      <c r="F326" s="467">
        <v>3</v>
      </c>
      <c r="G326" s="467" t="s">
        <v>321</v>
      </c>
      <c r="H326" s="468" t="s">
        <v>322</v>
      </c>
      <c r="I326" s="450" t="s">
        <v>322</v>
      </c>
      <c r="J326" s="450" t="s">
        <v>322</v>
      </c>
      <c r="K326" s="469">
        <v>14</v>
      </c>
      <c r="L326" s="470" t="s">
        <v>322</v>
      </c>
      <c r="M326" s="509"/>
    </row>
    <row r="327" spans="1:13" ht="12.75">
      <c r="A327" s="466" t="s">
        <v>318</v>
      </c>
      <c r="B327" s="450" t="s">
        <v>323</v>
      </c>
      <c r="C327" s="458" t="s">
        <v>334</v>
      </c>
      <c r="D327" s="449">
        <v>37350</v>
      </c>
      <c r="E327" s="450" t="s">
        <v>322</v>
      </c>
      <c r="F327" s="467">
        <v>4</v>
      </c>
      <c r="G327" s="467" t="s">
        <v>321</v>
      </c>
      <c r="H327" s="468" t="s">
        <v>322</v>
      </c>
      <c r="I327" s="450" t="s">
        <v>322</v>
      </c>
      <c r="J327" s="450" t="s">
        <v>322</v>
      </c>
      <c r="K327" s="469">
        <v>14</v>
      </c>
      <c r="L327" s="470" t="s">
        <v>322</v>
      </c>
      <c r="M327" s="509"/>
    </row>
    <row r="328" spans="1:13" ht="12.75">
      <c r="A328" s="466" t="s">
        <v>318</v>
      </c>
      <c r="B328" s="450" t="s">
        <v>323</v>
      </c>
      <c r="C328" s="458" t="s">
        <v>334</v>
      </c>
      <c r="D328" s="449">
        <v>37428</v>
      </c>
      <c r="E328" s="450" t="s">
        <v>245</v>
      </c>
      <c r="F328" s="467">
        <v>3</v>
      </c>
      <c r="G328" s="467" t="s">
        <v>321</v>
      </c>
      <c r="H328" s="468" t="s">
        <v>322</v>
      </c>
      <c r="I328" s="450" t="s">
        <v>322</v>
      </c>
      <c r="J328" s="450" t="s">
        <v>322</v>
      </c>
      <c r="K328" s="469">
        <v>14</v>
      </c>
      <c r="L328" s="470" t="s">
        <v>322</v>
      </c>
      <c r="M328" s="509"/>
    </row>
    <row r="329" spans="1:13" ht="12.75">
      <c r="A329" s="466" t="s">
        <v>318</v>
      </c>
      <c r="B329" s="450" t="s">
        <v>323</v>
      </c>
      <c r="C329" s="458" t="s">
        <v>334</v>
      </c>
      <c r="D329" s="449">
        <v>37440</v>
      </c>
      <c r="E329" s="450" t="s">
        <v>245</v>
      </c>
      <c r="F329" s="467">
        <v>3</v>
      </c>
      <c r="G329" s="467" t="s">
        <v>321</v>
      </c>
      <c r="H329" s="468" t="s">
        <v>322</v>
      </c>
      <c r="I329" s="450" t="s">
        <v>322</v>
      </c>
      <c r="J329" s="450" t="s">
        <v>322</v>
      </c>
      <c r="K329" s="469">
        <v>14</v>
      </c>
      <c r="L329" s="470" t="s">
        <v>322</v>
      </c>
      <c r="M329" s="509"/>
    </row>
    <row r="330" spans="1:13" ht="12.75">
      <c r="A330" s="466" t="s">
        <v>318</v>
      </c>
      <c r="B330" s="450" t="s">
        <v>323</v>
      </c>
      <c r="C330" s="458" t="s">
        <v>334</v>
      </c>
      <c r="D330" s="449">
        <v>37518</v>
      </c>
      <c r="E330" s="450" t="s">
        <v>322</v>
      </c>
      <c r="F330" s="467">
        <v>5</v>
      </c>
      <c r="G330" s="467" t="s">
        <v>321</v>
      </c>
      <c r="H330" s="468" t="s">
        <v>322</v>
      </c>
      <c r="I330" s="450" t="s">
        <v>322</v>
      </c>
      <c r="J330" s="450" t="s">
        <v>322</v>
      </c>
      <c r="K330" s="469">
        <v>14</v>
      </c>
      <c r="L330" s="470" t="s">
        <v>322</v>
      </c>
      <c r="M330" s="509"/>
    </row>
    <row r="331" spans="1:13" ht="12.75">
      <c r="A331" s="466" t="s">
        <v>318</v>
      </c>
      <c r="B331" s="450" t="s">
        <v>323</v>
      </c>
      <c r="C331" s="458" t="s">
        <v>334</v>
      </c>
      <c r="D331" s="449">
        <v>37610</v>
      </c>
      <c r="E331" s="450" t="s">
        <v>245</v>
      </c>
      <c r="F331" s="467">
        <v>3</v>
      </c>
      <c r="G331" s="467" t="s">
        <v>321</v>
      </c>
      <c r="H331" s="468" t="s">
        <v>322</v>
      </c>
      <c r="I331" s="450" t="s">
        <v>322</v>
      </c>
      <c r="J331" s="450" t="s">
        <v>322</v>
      </c>
      <c r="K331" s="469">
        <v>14</v>
      </c>
      <c r="L331" s="470" t="s">
        <v>322</v>
      </c>
      <c r="M331" s="509"/>
    </row>
    <row r="332" spans="1:13" ht="12.75">
      <c r="A332" s="466" t="s">
        <v>318</v>
      </c>
      <c r="B332" s="450" t="s">
        <v>323</v>
      </c>
      <c r="C332" s="458" t="s">
        <v>334</v>
      </c>
      <c r="D332" s="449">
        <v>37631</v>
      </c>
      <c r="E332" s="450" t="s">
        <v>245</v>
      </c>
      <c r="F332" s="467">
        <v>3</v>
      </c>
      <c r="G332" s="467" t="s">
        <v>321</v>
      </c>
      <c r="H332" s="468" t="s">
        <v>322</v>
      </c>
      <c r="I332" s="450" t="s">
        <v>322</v>
      </c>
      <c r="J332" s="450" t="s">
        <v>322</v>
      </c>
      <c r="K332" s="469">
        <v>14</v>
      </c>
      <c r="L332" s="470" t="s">
        <v>322</v>
      </c>
      <c r="M332" s="509"/>
    </row>
    <row r="333" spans="1:13" ht="12.75">
      <c r="A333" s="466" t="s">
        <v>318</v>
      </c>
      <c r="B333" s="450" t="s">
        <v>323</v>
      </c>
      <c r="C333" s="458" t="s">
        <v>334</v>
      </c>
      <c r="D333" s="449">
        <v>37663</v>
      </c>
      <c r="E333" s="450" t="s">
        <v>245</v>
      </c>
      <c r="F333" s="467">
        <v>3</v>
      </c>
      <c r="G333" s="467" t="s">
        <v>321</v>
      </c>
      <c r="H333" s="468" t="s">
        <v>322</v>
      </c>
      <c r="I333" s="450" t="s">
        <v>322</v>
      </c>
      <c r="J333" s="450" t="s">
        <v>322</v>
      </c>
      <c r="K333" s="469">
        <v>14</v>
      </c>
      <c r="L333" s="470" t="s">
        <v>322</v>
      </c>
      <c r="M333" s="509"/>
    </row>
    <row r="334" spans="1:13" ht="12.75">
      <c r="A334" s="466" t="s">
        <v>318</v>
      </c>
      <c r="B334" s="450" t="s">
        <v>323</v>
      </c>
      <c r="C334" s="458" t="s">
        <v>334</v>
      </c>
      <c r="D334" s="449">
        <v>37777</v>
      </c>
      <c r="E334" s="450" t="s">
        <v>245</v>
      </c>
      <c r="F334" s="467">
        <v>3</v>
      </c>
      <c r="G334" s="467" t="s">
        <v>321</v>
      </c>
      <c r="H334" s="468" t="s">
        <v>322</v>
      </c>
      <c r="I334" s="450" t="s">
        <v>322</v>
      </c>
      <c r="J334" s="450" t="s">
        <v>322</v>
      </c>
      <c r="K334" s="469">
        <v>14</v>
      </c>
      <c r="L334" s="470" t="s">
        <v>322</v>
      </c>
      <c r="M334" s="509"/>
    </row>
    <row r="335" spans="1:13" ht="12.75">
      <c r="A335" s="466" t="s">
        <v>318</v>
      </c>
      <c r="B335" s="450" t="s">
        <v>323</v>
      </c>
      <c r="C335" s="458" t="s">
        <v>334</v>
      </c>
      <c r="D335" s="449">
        <v>37805</v>
      </c>
      <c r="E335" s="450" t="s">
        <v>322</v>
      </c>
      <c r="F335" s="467">
        <v>4</v>
      </c>
      <c r="G335" s="467" t="s">
        <v>321</v>
      </c>
      <c r="H335" s="468" t="s">
        <v>322</v>
      </c>
      <c r="I335" s="450" t="s">
        <v>322</v>
      </c>
      <c r="J335" s="450" t="s">
        <v>322</v>
      </c>
      <c r="K335" s="469">
        <v>14</v>
      </c>
      <c r="L335" s="470" t="s">
        <v>322</v>
      </c>
      <c r="M335" s="509"/>
    </row>
    <row r="336" spans="1:13" ht="12.75">
      <c r="A336" s="466" t="s">
        <v>318</v>
      </c>
      <c r="B336" s="450" t="s">
        <v>323</v>
      </c>
      <c r="C336" s="458" t="s">
        <v>334</v>
      </c>
      <c r="D336" s="449">
        <v>37838</v>
      </c>
      <c r="E336" s="450" t="s">
        <v>322</v>
      </c>
      <c r="F336" s="467">
        <v>5</v>
      </c>
      <c r="G336" s="467" t="s">
        <v>321</v>
      </c>
      <c r="H336" s="468" t="s">
        <v>322</v>
      </c>
      <c r="I336" s="450" t="s">
        <v>322</v>
      </c>
      <c r="J336" s="450" t="s">
        <v>322</v>
      </c>
      <c r="K336" s="469">
        <v>14</v>
      </c>
      <c r="L336" s="470" t="s">
        <v>322</v>
      </c>
      <c r="M336" s="509"/>
    </row>
    <row r="337" spans="1:13" ht="12.75">
      <c r="A337" s="466" t="s">
        <v>318</v>
      </c>
      <c r="B337" s="450" t="s">
        <v>323</v>
      </c>
      <c r="C337" s="458" t="s">
        <v>334</v>
      </c>
      <c r="D337" s="449">
        <v>37868</v>
      </c>
      <c r="E337" s="450" t="s">
        <v>245</v>
      </c>
      <c r="F337" s="467">
        <v>3</v>
      </c>
      <c r="G337" s="467" t="s">
        <v>321</v>
      </c>
      <c r="H337" s="468" t="s">
        <v>322</v>
      </c>
      <c r="I337" s="450" t="s">
        <v>322</v>
      </c>
      <c r="J337" s="450" t="s">
        <v>322</v>
      </c>
      <c r="K337" s="469">
        <v>14</v>
      </c>
      <c r="L337" s="470" t="s">
        <v>322</v>
      </c>
      <c r="M337" s="509"/>
    </row>
    <row r="338" spans="1:13" ht="12.75">
      <c r="A338" s="466" t="s">
        <v>318</v>
      </c>
      <c r="B338" s="450" t="s">
        <v>323</v>
      </c>
      <c r="C338" s="458" t="s">
        <v>334</v>
      </c>
      <c r="D338" s="449">
        <v>37896</v>
      </c>
      <c r="E338" s="450" t="s">
        <v>322</v>
      </c>
      <c r="F338" s="467">
        <v>6</v>
      </c>
      <c r="G338" s="467" t="s">
        <v>321</v>
      </c>
      <c r="H338" s="468" t="s">
        <v>322</v>
      </c>
      <c r="I338" s="450" t="s">
        <v>322</v>
      </c>
      <c r="J338" s="450" t="s">
        <v>322</v>
      </c>
      <c r="K338" s="469">
        <v>14</v>
      </c>
      <c r="L338" s="470" t="s">
        <v>322</v>
      </c>
      <c r="M338" s="509"/>
    </row>
    <row r="339" spans="1:13" ht="12.75">
      <c r="A339" s="466" t="s">
        <v>318</v>
      </c>
      <c r="B339" s="450" t="s">
        <v>323</v>
      </c>
      <c r="C339" s="458" t="s">
        <v>334</v>
      </c>
      <c r="D339" s="449">
        <v>37929</v>
      </c>
      <c r="E339" s="450" t="s">
        <v>322</v>
      </c>
      <c r="F339" s="467">
        <v>3</v>
      </c>
      <c r="G339" s="467" t="s">
        <v>321</v>
      </c>
      <c r="H339" s="468" t="s">
        <v>322</v>
      </c>
      <c r="I339" s="450" t="s">
        <v>322</v>
      </c>
      <c r="J339" s="450" t="s">
        <v>322</v>
      </c>
      <c r="K339" s="469">
        <v>14</v>
      </c>
      <c r="L339" s="470" t="s">
        <v>322</v>
      </c>
      <c r="M339" s="509"/>
    </row>
    <row r="340" spans="1:13" ht="12.75">
      <c r="A340" s="466" t="s">
        <v>318</v>
      </c>
      <c r="B340" s="450" t="s">
        <v>323</v>
      </c>
      <c r="C340" s="458" t="s">
        <v>334</v>
      </c>
      <c r="D340" s="449">
        <v>37960</v>
      </c>
      <c r="E340" s="450" t="s">
        <v>245</v>
      </c>
      <c r="F340" s="467">
        <v>3</v>
      </c>
      <c r="G340" s="467" t="s">
        <v>321</v>
      </c>
      <c r="H340" s="468" t="s">
        <v>322</v>
      </c>
      <c r="I340" s="450" t="s">
        <v>322</v>
      </c>
      <c r="J340" s="450" t="s">
        <v>322</v>
      </c>
      <c r="K340" s="469">
        <v>14</v>
      </c>
      <c r="L340" s="470" t="s">
        <v>322</v>
      </c>
      <c r="M340" s="509"/>
    </row>
    <row r="341" spans="1:13" ht="12.75">
      <c r="A341" s="466" t="s">
        <v>318</v>
      </c>
      <c r="B341" s="450" t="s">
        <v>323</v>
      </c>
      <c r="C341" s="458" t="s">
        <v>334</v>
      </c>
      <c r="D341" s="449">
        <v>37993</v>
      </c>
      <c r="E341" s="450" t="s">
        <v>245</v>
      </c>
      <c r="F341" s="467">
        <v>3</v>
      </c>
      <c r="G341" s="467" t="s">
        <v>321</v>
      </c>
      <c r="H341" s="468" t="s">
        <v>322</v>
      </c>
      <c r="I341" s="450" t="s">
        <v>322</v>
      </c>
      <c r="J341" s="450" t="s">
        <v>322</v>
      </c>
      <c r="K341" s="469">
        <v>14</v>
      </c>
      <c r="L341" s="470" t="s">
        <v>322</v>
      </c>
      <c r="M341" s="509"/>
    </row>
    <row r="342" spans="1:13" ht="12.75">
      <c r="A342" s="466" t="s">
        <v>318</v>
      </c>
      <c r="B342" s="450" t="s">
        <v>323</v>
      </c>
      <c r="C342" s="458" t="s">
        <v>334</v>
      </c>
      <c r="D342" s="449">
        <v>38020</v>
      </c>
      <c r="E342" s="450" t="s">
        <v>245</v>
      </c>
      <c r="F342" s="467">
        <v>3</v>
      </c>
      <c r="G342" s="467" t="s">
        <v>321</v>
      </c>
      <c r="H342" s="468" t="s">
        <v>322</v>
      </c>
      <c r="I342" s="450" t="s">
        <v>322</v>
      </c>
      <c r="J342" s="450" t="s">
        <v>322</v>
      </c>
      <c r="K342" s="469">
        <v>14</v>
      </c>
      <c r="L342" s="470" t="s">
        <v>322</v>
      </c>
      <c r="M342" s="509"/>
    </row>
    <row r="343" spans="1:13" ht="12.75">
      <c r="A343" s="466" t="s">
        <v>318</v>
      </c>
      <c r="B343" s="450" t="s">
        <v>323</v>
      </c>
      <c r="C343" s="458" t="s">
        <v>334</v>
      </c>
      <c r="D343" s="449">
        <v>38051</v>
      </c>
      <c r="E343" s="450" t="s">
        <v>245</v>
      </c>
      <c r="F343" s="467">
        <v>3</v>
      </c>
      <c r="G343" s="467" t="s">
        <v>321</v>
      </c>
      <c r="H343" s="468" t="s">
        <v>322</v>
      </c>
      <c r="I343" s="450" t="s">
        <v>322</v>
      </c>
      <c r="J343" s="450" t="s">
        <v>322</v>
      </c>
      <c r="K343" s="469">
        <v>14</v>
      </c>
      <c r="L343" s="470" t="s">
        <v>322</v>
      </c>
      <c r="M343" s="509"/>
    </row>
    <row r="344" spans="1:13" ht="12.75">
      <c r="A344" s="466" t="s">
        <v>318</v>
      </c>
      <c r="B344" s="450" t="s">
        <v>323</v>
      </c>
      <c r="C344" s="458" t="s">
        <v>334</v>
      </c>
      <c r="D344" s="449">
        <v>38084</v>
      </c>
      <c r="E344" s="450" t="s">
        <v>245</v>
      </c>
      <c r="F344" s="467">
        <v>3</v>
      </c>
      <c r="G344" s="467" t="s">
        <v>321</v>
      </c>
      <c r="H344" s="468" t="s">
        <v>322</v>
      </c>
      <c r="I344" s="450" t="s">
        <v>322</v>
      </c>
      <c r="J344" s="450" t="s">
        <v>322</v>
      </c>
      <c r="K344" s="469">
        <v>14</v>
      </c>
      <c r="L344" s="470" t="s">
        <v>322</v>
      </c>
      <c r="M344" s="509"/>
    </row>
    <row r="345" spans="1:13" ht="12.75">
      <c r="A345" s="466" t="s">
        <v>318</v>
      </c>
      <c r="B345" s="450" t="s">
        <v>323</v>
      </c>
      <c r="C345" s="458" t="s">
        <v>334</v>
      </c>
      <c r="D345" s="449">
        <v>38139</v>
      </c>
      <c r="E345" s="450" t="s">
        <v>245</v>
      </c>
      <c r="F345" s="467">
        <v>3</v>
      </c>
      <c r="G345" s="467" t="s">
        <v>321</v>
      </c>
      <c r="H345" s="468" t="s">
        <v>322</v>
      </c>
      <c r="I345" s="450" t="s">
        <v>322</v>
      </c>
      <c r="J345" s="450" t="s">
        <v>322</v>
      </c>
      <c r="K345" s="469">
        <v>14</v>
      </c>
      <c r="L345" s="470" t="s">
        <v>322</v>
      </c>
      <c r="M345" s="509"/>
    </row>
    <row r="346" spans="1:13" ht="12.75">
      <c r="A346" s="466" t="s">
        <v>318</v>
      </c>
      <c r="B346" s="450" t="s">
        <v>323</v>
      </c>
      <c r="C346" s="458" t="s">
        <v>334</v>
      </c>
      <c r="D346" s="449">
        <v>38203</v>
      </c>
      <c r="E346" s="450" t="s">
        <v>245</v>
      </c>
      <c r="F346" s="467">
        <v>3</v>
      </c>
      <c r="G346" s="467" t="s">
        <v>321</v>
      </c>
      <c r="H346" s="468" t="s">
        <v>322</v>
      </c>
      <c r="I346" s="450" t="s">
        <v>322</v>
      </c>
      <c r="J346" s="450" t="s">
        <v>322</v>
      </c>
      <c r="K346" s="469">
        <v>14</v>
      </c>
      <c r="L346" s="470" t="s">
        <v>322</v>
      </c>
      <c r="M346" s="509"/>
    </row>
    <row r="347" spans="1:13" ht="12.75">
      <c r="A347" s="466" t="s">
        <v>318</v>
      </c>
      <c r="B347" s="450" t="s">
        <v>323</v>
      </c>
      <c r="C347" s="458" t="s">
        <v>334</v>
      </c>
      <c r="D347" s="449">
        <v>38231</v>
      </c>
      <c r="E347" s="450" t="s">
        <v>245</v>
      </c>
      <c r="F347" s="467">
        <v>3</v>
      </c>
      <c r="G347" s="467" t="s">
        <v>321</v>
      </c>
      <c r="H347" s="468" t="s">
        <v>322</v>
      </c>
      <c r="I347" s="450" t="s">
        <v>322</v>
      </c>
      <c r="J347" s="450" t="s">
        <v>322</v>
      </c>
      <c r="K347" s="469">
        <v>14</v>
      </c>
      <c r="L347" s="470" t="s">
        <v>322</v>
      </c>
      <c r="M347" s="509"/>
    </row>
    <row r="348" spans="1:13" ht="12.75">
      <c r="A348" s="466" t="s">
        <v>318</v>
      </c>
      <c r="B348" s="450" t="s">
        <v>323</v>
      </c>
      <c r="C348" s="458" t="s">
        <v>334</v>
      </c>
      <c r="D348" s="449">
        <v>38273</v>
      </c>
      <c r="E348" s="450" t="s">
        <v>322</v>
      </c>
      <c r="F348" s="467">
        <v>8</v>
      </c>
      <c r="G348" s="467" t="s">
        <v>321</v>
      </c>
      <c r="H348" s="468" t="s">
        <v>322</v>
      </c>
      <c r="I348" s="450" t="s">
        <v>322</v>
      </c>
      <c r="J348" s="450" t="s">
        <v>322</v>
      </c>
      <c r="K348" s="469">
        <v>14</v>
      </c>
      <c r="L348" s="470" t="s">
        <v>322</v>
      </c>
      <c r="M348" s="509"/>
    </row>
    <row r="349" spans="1:13" ht="12.75">
      <c r="A349" s="466" t="s">
        <v>318</v>
      </c>
      <c r="B349" s="450" t="s">
        <v>323</v>
      </c>
      <c r="C349" s="458" t="s">
        <v>334</v>
      </c>
      <c r="D349" s="449">
        <v>38293</v>
      </c>
      <c r="E349" s="450" t="s">
        <v>245</v>
      </c>
      <c r="F349" s="467">
        <v>3</v>
      </c>
      <c r="G349" s="467" t="s">
        <v>321</v>
      </c>
      <c r="H349" s="468" t="s">
        <v>322</v>
      </c>
      <c r="I349" s="450" t="s">
        <v>322</v>
      </c>
      <c r="J349" s="450" t="s">
        <v>322</v>
      </c>
      <c r="K349" s="469">
        <v>14</v>
      </c>
      <c r="L349" s="470" t="s">
        <v>322</v>
      </c>
      <c r="M349" s="509"/>
    </row>
    <row r="350" spans="1:13" ht="12.75">
      <c r="A350" s="466" t="s">
        <v>318</v>
      </c>
      <c r="B350" s="450" t="s">
        <v>323</v>
      </c>
      <c r="C350" s="458" t="s">
        <v>334</v>
      </c>
      <c r="D350" s="449">
        <v>38322</v>
      </c>
      <c r="E350" s="450" t="s">
        <v>322</v>
      </c>
      <c r="F350" s="467">
        <v>5.3</v>
      </c>
      <c r="G350" s="467" t="s">
        <v>321</v>
      </c>
      <c r="H350" s="468" t="s">
        <v>322</v>
      </c>
      <c r="I350" s="450" t="s">
        <v>322</v>
      </c>
      <c r="J350" s="450" t="s">
        <v>322</v>
      </c>
      <c r="K350" s="469">
        <v>14</v>
      </c>
      <c r="L350" s="470" t="s">
        <v>322</v>
      </c>
      <c r="M350" s="509"/>
    </row>
    <row r="351" spans="1:13" ht="12.75">
      <c r="A351" s="466" t="s">
        <v>318</v>
      </c>
      <c r="B351" s="450" t="s">
        <v>323</v>
      </c>
      <c r="C351" s="458" t="s">
        <v>334</v>
      </c>
      <c r="D351" s="449">
        <v>38358</v>
      </c>
      <c r="E351" s="450" t="s">
        <v>245</v>
      </c>
      <c r="F351" s="467">
        <v>3</v>
      </c>
      <c r="G351" s="467" t="s">
        <v>321</v>
      </c>
      <c r="H351" s="468" t="s">
        <v>322</v>
      </c>
      <c r="I351" s="450" t="s">
        <v>322</v>
      </c>
      <c r="J351" s="450" t="s">
        <v>322</v>
      </c>
      <c r="K351" s="469">
        <v>14</v>
      </c>
      <c r="L351" s="470" t="s">
        <v>322</v>
      </c>
      <c r="M351" s="509"/>
    </row>
    <row r="352" spans="1:13" ht="12.75">
      <c r="A352" s="466" t="s">
        <v>318</v>
      </c>
      <c r="B352" s="450" t="s">
        <v>323</v>
      </c>
      <c r="C352" s="458" t="s">
        <v>334</v>
      </c>
      <c r="D352" s="449">
        <v>38386</v>
      </c>
      <c r="E352" s="450" t="s">
        <v>245</v>
      </c>
      <c r="F352" s="467">
        <v>3</v>
      </c>
      <c r="G352" s="467" t="s">
        <v>321</v>
      </c>
      <c r="H352" s="468" t="s">
        <v>322</v>
      </c>
      <c r="I352" s="450" t="s">
        <v>322</v>
      </c>
      <c r="J352" s="450" t="s">
        <v>322</v>
      </c>
      <c r="K352" s="469">
        <v>14</v>
      </c>
      <c r="L352" s="470" t="s">
        <v>322</v>
      </c>
      <c r="M352" s="509"/>
    </row>
    <row r="353" spans="1:13" ht="12.75">
      <c r="A353" s="466" t="s">
        <v>318</v>
      </c>
      <c r="B353" s="450" t="s">
        <v>323</v>
      </c>
      <c r="C353" s="458" t="s">
        <v>334</v>
      </c>
      <c r="D353" s="449">
        <v>38413</v>
      </c>
      <c r="E353" s="450" t="s">
        <v>245</v>
      </c>
      <c r="F353" s="467">
        <v>3</v>
      </c>
      <c r="G353" s="467" t="s">
        <v>321</v>
      </c>
      <c r="H353" s="468" t="s">
        <v>322</v>
      </c>
      <c r="I353" s="450" t="s">
        <v>322</v>
      </c>
      <c r="J353" s="450" t="s">
        <v>322</v>
      </c>
      <c r="K353" s="469">
        <v>14</v>
      </c>
      <c r="L353" s="470" t="s">
        <v>322</v>
      </c>
      <c r="M353" s="509"/>
    </row>
    <row r="354" spans="1:13" ht="12.75">
      <c r="A354" s="466" t="s">
        <v>318</v>
      </c>
      <c r="B354" s="450" t="s">
        <v>323</v>
      </c>
      <c r="C354" s="458" t="s">
        <v>334</v>
      </c>
      <c r="D354" s="449">
        <v>38450</v>
      </c>
      <c r="E354" s="450" t="s">
        <v>322</v>
      </c>
      <c r="F354" s="467">
        <v>3.1</v>
      </c>
      <c r="G354" s="467" t="s">
        <v>321</v>
      </c>
      <c r="H354" s="468" t="s">
        <v>322</v>
      </c>
      <c r="I354" s="450" t="s">
        <v>322</v>
      </c>
      <c r="J354" s="450" t="s">
        <v>322</v>
      </c>
      <c r="K354" s="469">
        <v>14</v>
      </c>
      <c r="L354" s="470" t="s">
        <v>322</v>
      </c>
      <c r="M354" s="509"/>
    </row>
    <row r="355" spans="1:13" ht="12.75">
      <c r="A355" s="466" t="s">
        <v>318</v>
      </c>
      <c r="B355" s="450" t="s">
        <v>323</v>
      </c>
      <c r="C355" s="458" t="s">
        <v>334</v>
      </c>
      <c r="D355" s="449">
        <v>38477</v>
      </c>
      <c r="E355" s="450" t="s">
        <v>322</v>
      </c>
      <c r="F355" s="467">
        <v>5.8</v>
      </c>
      <c r="G355" s="467" t="s">
        <v>321</v>
      </c>
      <c r="H355" s="468" t="s">
        <v>322</v>
      </c>
      <c r="I355" s="450" t="s">
        <v>322</v>
      </c>
      <c r="J355" s="450" t="s">
        <v>322</v>
      </c>
      <c r="K355" s="469">
        <v>14</v>
      </c>
      <c r="L355" s="470" t="s">
        <v>322</v>
      </c>
      <c r="M355" s="509"/>
    </row>
    <row r="356" spans="1:13" ht="12.75">
      <c r="A356" s="466" t="s">
        <v>318</v>
      </c>
      <c r="B356" s="450" t="s">
        <v>323</v>
      </c>
      <c r="C356" s="458" t="s">
        <v>334</v>
      </c>
      <c r="D356" s="449">
        <v>38505</v>
      </c>
      <c r="E356" s="450" t="s">
        <v>245</v>
      </c>
      <c r="F356" s="467">
        <v>3</v>
      </c>
      <c r="G356" s="467" t="s">
        <v>321</v>
      </c>
      <c r="H356" s="468" t="s">
        <v>322</v>
      </c>
      <c r="I356" s="450" t="s">
        <v>322</v>
      </c>
      <c r="J356" s="450" t="s">
        <v>322</v>
      </c>
      <c r="K356" s="469">
        <v>14</v>
      </c>
      <c r="L356" s="470" t="s">
        <v>322</v>
      </c>
      <c r="M356" s="509"/>
    </row>
    <row r="357" spans="1:13" ht="12.75">
      <c r="A357" s="466" t="s">
        <v>318</v>
      </c>
      <c r="B357" s="450" t="s">
        <v>323</v>
      </c>
      <c r="C357" s="458" t="s">
        <v>334</v>
      </c>
      <c r="D357" s="449">
        <v>38539</v>
      </c>
      <c r="E357" s="450" t="s">
        <v>322</v>
      </c>
      <c r="F357" s="467">
        <v>5.1</v>
      </c>
      <c r="G357" s="467" t="s">
        <v>321</v>
      </c>
      <c r="H357" s="468" t="s">
        <v>322</v>
      </c>
      <c r="I357" s="450" t="s">
        <v>322</v>
      </c>
      <c r="J357" s="450" t="s">
        <v>322</v>
      </c>
      <c r="K357" s="469">
        <v>14</v>
      </c>
      <c r="L357" s="470" t="s">
        <v>322</v>
      </c>
      <c r="M357" s="509"/>
    </row>
    <row r="358" spans="1:13" ht="12.75">
      <c r="A358" s="466" t="s">
        <v>318</v>
      </c>
      <c r="B358" s="450" t="s">
        <v>323</v>
      </c>
      <c r="C358" s="458" t="s">
        <v>334</v>
      </c>
      <c r="D358" s="449">
        <v>38567</v>
      </c>
      <c r="E358" s="450" t="s">
        <v>245</v>
      </c>
      <c r="F358" s="467">
        <v>3</v>
      </c>
      <c r="G358" s="467" t="s">
        <v>321</v>
      </c>
      <c r="H358" s="468" t="s">
        <v>322</v>
      </c>
      <c r="I358" s="450" t="s">
        <v>322</v>
      </c>
      <c r="J358" s="450" t="s">
        <v>322</v>
      </c>
      <c r="K358" s="469">
        <v>14</v>
      </c>
      <c r="L358" s="470" t="s">
        <v>322</v>
      </c>
      <c r="M358" s="509"/>
    </row>
    <row r="359" spans="1:13" ht="12.75">
      <c r="A359" s="466" t="s">
        <v>318</v>
      </c>
      <c r="B359" s="450" t="s">
        <v>323</v>
      </c>
      <c r="C359" s="458" t="s">
        <v>334</v>
      </c>
      <c r="D359" s="449">
        <v>38637</v>
      </c>
      <c r="E359" s="450" t="s">
        <v>322</v>
      </c>
      <c r="F359" s="467">
        <v>4</v>
      </c>
      <c r="G359" s="467" t="s">
        <v>321</v>
      </c>
      <c r="H359" s="468" t="s">
        <v>322</v>
      </c>
      <c r="I359" s="450" t="s">
        <v>322</v>
      </c>
      <c r="J359" s="450" t="s">
        <v>322</v>
      </c>
      <c r="K359" s="469">
        <v>14</v>
      </c>
      <c r="L359" s="470" t="s">
        <v>322</v>
      </c>
      <c r="M359" s="509"/>
    </row>
    <row r="360" spans="1:13" ht="12.75">
      <c r="A360" s="466" t="s">
        <v>318</v>
      </c>
      <c r="B360" s="450" t="s">
        <v>323</v>
      </c>
      <c r="C360" s="458" t="s">
        <v>334</v>
      </c>
      <c r="D360" s="449">
        <v>38657</v>
      </c>
      <c r="E360" s="450" t="s">
        <v>322</v>
      </c>
      <c r="F360" s="467">
        <v>3.7</v>
      </c>
      <c r="G360" s="467" t="s">
        <v>321</v>
      </c>
      <c r="H360" s="468" t="s">
        <v>322</v>
      </c>
      <c r="I360" s="450" t="s">
        <v>322</v>
      </c>
      <c r="J360" s="450" t="s">
        <v>322</v>
      </c>
      <c r="K360" s="469">
        <v>14</v>
      </c>
      <c r="L360" s="470" t="s">
        <v>322</v>
      </c>
      <c r="M360" s="509"/>
    </row>
    <row r="361" spans="1:13" ht="12.75">
      <c r="A361" s="466" t="s">
        <v>318</v>
      </c>
      <c r="B361" s="450" t="s">
        <v>323</v>
      </c>
      <c r="C361" s="458" t="s">
        <v>334</v>
      </c>
      <c r="D361" s="449">
        <v>38693</v>
      </c>
      <c r="E361" s="450" t="s">
        <v>322</v>
      </c>
      <c r="F361" s="467">
        <v>3.5</v>
      </c>
      <c r="G361" s="467" t="s">
        <v>321</v>
      </c>
      <c r="H361" s="468" t="s">
        <v>322</v>
      </c>
      <c r="I361" s="450" t="s">
        <v>322</v>
      </c>
      <c r="J361" s="450" t="s">
        <v>322</v>
      </c>
      <c r="K361" s="469">
        <v>14</v>
      </c>
      <c r="L361" s="470" t="s">
        <v>322</v>
      </c>
      <c r="M361" s="509"/>
    </row>
    <row r="362" spans="1:13" ht="12.75">
      <c r="A362" s="466" t="s">
        <v>318</v>
      </c>
      <c r="B362" s="450" t="s">
        <v>323</v>
      </c>
      <c r="C362" s="458" t="s">
        <v>334</v>
      </c>
      <c r="D362" s="449">
        <v>38722</v>
      </c>
      <c r="E362" s="450" t="s">
        <v>245</v>
      </c>
      <c r="F362" s="467">
        <v>3</v>
      </c>
      <c r="G362" s="467" t="s">
        <v>321</v>
      </c>
      <c r="H362" s="468" t="s">
        <v>322</v>
      </c>
      <c r="I362" s="450" t="s">
        <v>322</v>
      </c>
      <c r="J362" s="450" t="s">
        <v>322</v>
      </c>
      <c r="K362" s="469">
        <v>14</v>
      </c>
      <c r="L362" s="470" t="s">
        <v>322</v>
      </c>
      <c r="M362" s="509"/>
    </row>
    <row r="363" spans="1:13" ht="12.75">
      <c r="A363" s="466" t="s">
        <v>318</v>
      </c>
      <c r="B363" s="450" t="s">
        <v>323</v>
      </c>
      <c r="C363" s="458" t="s">
        <v>334</v>
      </c>
      <c r="D363" s="449">
        <v>38750</v>
      </c>
      <c r="E363" s="450" t="s">
        <v>245</v>
      </c>
      <c r="F363" s="467">
        <v>3</v>
      </c>
      <c r="G363" s="467" t="s">
        <v>321</v>
      </c>
      <c r="H363" s="468" t="s">
        <v>322</v>
      </c>
      <c r="I363" s="450" t="s">
        <v>322</v>
      </c>
      <c r="J363" s="450" t="s">
        <v>322</v>
      </c>
      <c r="K363" s="469">
        <v>14</v>
      </c>
      <c r="L363" s="470" t="s">
        <v>322</v>
      </c>
      <c r="M363" s="509"/>
    </row>
    <row r="364" spans="1:13" ht="12.75">
      <c r="A364" s="466" t="s">
        <v>318</v>
      </c>
      <c r="B364" s="450" t="s">
        <v>484</v>
      </c>
      <c r="C364" s="458" t="s">
        <v>260</v>
      </c>
      <c r="D364" s="449">
        <v>37743</v>
      </c>
      <c r="E364" s="450" t="s">
        <v>245</v>
      </c>
      <c r="F364" s="467">
        <v>7.46E-10</v>
      </c>
      <c r="G364" s="467" t="s">
        <v>188</v>
      </c>
      <c r="H364" s="468"/>
      <c r="I364" s="450">
        <v>7.46E-06</v>
      </c>
      <c r="J364" s="450"/>
      <c r="K364" s="469">
        <v>16</v>
      </c>
      <c r="L364" s="470" t="s">
        <v>483</v>
      </c>
      <c r="M364" s="509"/>
    </row>
    <row r="365" spans="1:13" ht="12.75">
      <c r="A365" s="466" t="s">
        <v>318</v>
      </c>
      <c r="B365" s="450" t="s">
        <v>484</v>
      </c>
      <c r="C365" s="458" t="s">
        <v>260</v>
      </c>
      <c r="D365" s="449">
        <v>37897</v>
      </c>
      <c r="E365" s="450"/>
      <c r="F365" s="467">
        <v>1.48E-09</v>
      </c>
      <c r="G365" s="467" t="s">
        <v>188</v>
      </c>
      <c r="H365" s="468"/>
      <c r="I365" s="450"/>
      <c r="J365" s="450"/>
      <c r="K365" s="469">
        <v>16</v>
      </c>
      <c r="L365" s="470" t="s">
        <v>483</v>
      </c>
      <c r="M365" s="509"/>
    </row>
    <row r="366" spans="1:13" ht="12.75">
      <c r="A366" s="466" t="s">
        <v>318</v>
      </c>
      <c r="B366" s="450" t="s">
        <v>484</v>
      </c>
      <c r="C366" s="458" t="s">
        <v>260</v>
      </c>
      <c r="D366" s="449">
        <v>38113</v>
      </c>
      <c r="E366" s="450"/>
      <c r="F366" s="467">
        <v>8.69E-10</v>
      </c>
      <c r="G366" s="467" t="s">
        <v>188</v>
      </c>
      <c r="H366" s="468"/>
      <c r="I366" s="450"/>
      <c r="J366" s="450"/>
      <c r="K366" s="469">
        <v>16</v>
      </c>
      <c r="L366" s="470" t="s">
        <v>483</v>
      </c>
      <c r="M366" s="509"/>
    </row>
    <row r="367" spans="1:13" ht="12.75">
      <c r="A367" s="466" t="s">
        <v>318</v>
      </c>
      <c r="B367" s="450" t="s">
        <v>484</v>
      </c>
      <c r="C367" s="458" t="s">
        <v>260</v>
      </c>
      <c r="D367" s="449">
        <v>38352</v>
      </c>
      <c r="E367" s="450"/>
      <c r="F367" s="467">
        <v>4.1369000000000005E-08</v>
      </c>
      <c r="G367" s="467" t="s">
        <v>188</v>
      </c>
      <c r="H367" s="468"/>
      <c r="I367" s="450"/>
      <c r="J367" s="450"/>
      <c r="K367" s="469">
        <v>16</v>
      </c>
      <c r="L367" s="470" t="s">
        <v>483</v>
      </c>
      <c r="M367" s="509"/>
    </row>
    <row r="368" spans="1:13" ht="12.75">
      <c r="A368" s="466" t="s">
        <v>318</v>
      </c>
      <c r="B368" s="450" t="s">
        <v>484</v>
      </c>
      <c r="C368" s="458" t="s">
        <v>260</v>
      </c>
      <c r="D368" s="449">
        <v>38638</v>
      </c>
      <c r="E368" s="450"/>
      <c r="F368" s="467">
        <v>8.550000000000001E-10</v>
      </c>
      <c r="G368" s="467" t="s">
        <v>188</v>
      </c>
      <c r="H368" s="468"/>
      <c r="I368" s="450"/>
      <c r="J368" s="450"/>
      <c r="K368" s="469">
        <v>16</v>
      </c>
      <c r="L368" s="470" t="s">
        <v>483</v>
      </c>
      <c r="M368" s="509"/>
    </row>
    <row r="369" spans="1:13" ht="12.75">
      <c r="A369" s="466" t="s">
        <v>318</v>
      </c>
      <c r="B369" s="450" t="s">
        <v>335</v>
      </c>
      <c r="C369" s="458" t="s">
        <v>51</v>
      </c>
      <c r="D369" s="449">
        <v>37173</v>
      </c>
      <c r="E369" s="450" t="s">
        <v>245</v>
      </c>
      <c r="F369" s="467">
        <v>3.3</v>
      </c>
      <c r="G369" s="467" t="s">
        <v>321</v>
      </c>
      <c r="H369" s="468">
        <v>5</v>
      </c>
      <c r="I369" s="450">
        <v>3.3</v>
      </c>
      <c r="J369" s="450" t="s">
        <v>322</v>
      </c>
      <c r="K369" s="469">
        <v>17</v>
      </c>
      <c r="L369" s="470">
        <v>1</v>
      </c>
      <c r="M369" s="509"/>
    </row>
    <row r="370" spans="1:13" ht="12.75">
      <c r="A370" s="466" t="s">
        <v>318</v>
      </c>
      <c r="B370" s="450" t="s">
        <v>335</v>
      </c>
      <c r="C370" s="458" t="s">
        <v>51</v>
      </c>
      <c r="D370" s="449">
        <v>37386</v>
      </c>
      <c r="E370" s="450" t="s">
        <v>245</v>
      </c>
      <c r="F370" s="467">
        <v>3.3</v>
      </c>
      <c r="G370" s="467" t="s">
        <v>321</v>
      </c>
      <c r="H370" s="468">
        <v>5</v>
      </c>
      <c r="I370" s="450">
        <v>3.3</v>
      </c>
      <c r="J370" s="450" t="s">
        <v>322</v>
      </c>
      <c r="K370" s="469">
        <v>17</v>
      </c>
      <c r="L370" s="470">
        <v>1</v>
      </c>
      <c r="M370" s="509"/>
    </row>
    <row r="371" spans="1:13" ht="12.75">
      <c r="A371" s="466" t="s">
        <v>318</v>
      </c>
      <c r="B371" s="450" t="s">
        <v>335</v>
      </c>
      <c r="C371" s="458" t="s">
        <v>51</v>
      </c>
      <c r="D371" s="449">
        <v>37537</v>
      </c>
      <c r="E371" s="450" t="s">
        <v>245</v>
      </c>
      <c r="F371" s="467">
        <v>1</v>
      </c>
      <c r="G371" s="467" t="s">
        <v>321</v>
      </c>
      <c r="H371" s="468">
        <v>5</v>
      </c>
      <c r="I371" s="450">
        <v>1</v>
      </c>
      <c r="J371" s="450" t="s">
        <v>322</v>
      </c>
      <c r="K371" s="469">
        <v>17</v>
      </c>
      <c r="L371" s="470">
        <v>1</v>
      </c>
      <c r="M371" s="509"/>
    </row>
    <row r="372" spans="1:13" ht="12.75">
      <c r="A372" s="466" t="s">
        <v>318</v>
      </c>
      <c r="B372" s="450" t="s">
        <v>335</v>
      </c>
      <c r="C372" s="458" t="s">
        <v>51</v>
      </c>
      <c r="D372" s="449">
        <v>37743</v>
      </c>
      <c r="E372" s="450" t="s">
        <v>245</v>
      </c>
      <c r="F372" s="467">
        <v>1</v>
      </c>
      <c r="G372" s="467" t="s">
        <v>321</v>
      </c>
      <c r="H372" s="468">
        <v>5</v>
      </c>
      <c r="I372" s="450">
        <v>1</v>
      </c>
      <c r="J372" s="450" t="s">
        <v>322</v>
      </c>
      <c r="K372" s="469">
        <v>17</v>
      </c>
      <c r="L372" s="470">
        <v>1</v>
      </c>
      <c r="M372" s="509"/>
    </row>
    <row r="373" spans="1:13" ht="12.75">
      <c r="A373" s="466" t="s">
        <v>318</v>
      </c>
      <c r="B373" s="450" t="s">
        <v>335</v>
      </c>
      <c r="C373" s="458" t="s">
        <v>51</v>
      </c>
      <c r="D373" s="449">
        <v>37897</v>
      </c>
      <c r="E373" s="450" t="s">
        <v>245</v>
      </c>
      <c r="F373" s="467">
        <v>1</v>
      </c>
      <c r="G373" s="467" t="s">
        <v>321</v>
      </c>
      <c r="H373" s="468">
        <v>5</v>
      </c>
      <c r="I373" s="450">
        <v>1</v>
      </c>
      <c r="J373" s="450" t="s">
        <v>322</v>
      </c>
      <c r="K373" s="469">
        <v>17</v>
      </c>
      <c r="L373" s="470">
        <v>1</v>
      </c>
      <c r="M373" s="509"/>
    </row>
    <row r="374" spans="1:13" ht="12.75">
      <c r="A374" s="466" t="s">
        <v>318</v>
      </c>
      <c r="B374" s="450" t="s">
        <v>335</v>
      </c>
      <c r="C374" s="458" t="s">
        <v>51</v>
      </c>
      <c r="D374" s="449">
        <v>38127</v>
      </c>
      <c r="E374" s="450" t="s">
        <v>245</v>
      </c>
      <c r="F374" s="467">
        <v>1</v>
      </c>
      <c r="G374" s="467" t="s">
        <v>321</v>
      </c>
      <c r="H374" s="468">
        <v>50</v>
      </c>
      <c r="I374" s="450">
        <v>1</v>
      </c>
      <c r="J374" s="450" t="s">
        <v>322</v>
      </c>
      <c r="K374" s="469">
        <v>17</v>
      </c>
      <c r="L374" s="470">
        <v>10</v>
      </c>
      <c r="M374" s="509"/>
    </row>
    <row r="375" spans="1:13" ht="12.75">
      <c r="A375" s="466" t="s">
        <v>318</v>
      </c>
      <c r="B375" s="450" t="s">
        <v>335</v>
      </c>
      <c r="C375" s="458" t="s">
        <v>51</v>
      </c>
      <c r="D375" s="449">
        <v>38273</v>
      </c>
      <c r="E375" s="450" t="s">
        <v>245</v>
      </c>
      <c r="F375" s="467">
        <v>0.56</v>
      </c>
      <c r="G375" s="467" t="s">
        <v>321</v>
      </c>
      <c r="H375" s="468">
        <v>5</v>
      </c>
      <c r="I375" s="450">
        <v>0.56</v>
      </c>
      <c r="J375" s="450" t="s">
        <v>322</v>
      </c>
      <c r="K375" s="469">
        <v>17</v>
      </c>
      <c r="L375" s="470">
        <v>1</v>
      </c>
      <c r="M375" s="509"/>
    </row>
    <row r="376" spans="1:13" ht="12.75">
      <c r="A376" s="466" t="s">
        <v>318</v>
      </c>
      <c r="B376" s="450" t="s">
        <v>335</v>
      </c>
      <c r="C376" s="458" t="s">
        <v>51</v>
      </c>
      <c r="D376" s="449">
        <v>38477</v>
      </c>
      <c r="E376" s="450" t="s">
        <v>245</v>
      </c>
      <c r="F376" s="467">
        <v>0.56</v>
      </c>
      <c r="G376" s="467" t="s">
        <v>321</v>
      </c>
      <c r="H376" s="468">
        <v>5</v>
      </c>
      <c r="I376" s="450">
        <v>0.56</v>
      </c>
      <c r="J376" s="450" t="s">
        <v>322</v>
      </c>
      <c r="K376" s="469">
        <v>17</v>
      </c>
      <c r="L376" s="470">
        <v>1</v>
      </c>
      <c r="M376" s="509"/>
    </row>
    <row r="377" spans="1:13" ht="12.75">
      <c r="A377" s="466" t="s">
        <v>318</v>
      </c>
      <c r="B377" s="450" t="s">
        <v>335</v>
      </c>
      <c r="C377" s="458" t="s">
        <v>336</v>
      </c>
      <c r="D377" s="449">
        <v>37173</v>
      </c>
      <c r="E377" s="450" t="s">
        <v>245</v>
      </c>
      <c r="F377" s="467">
        <v>1.6</v>
      </c>
      <c r="G377" s="467" t="s">
        <v>321</v>
      </c>
      <c r="H377" s="468">
        <v>2</v>
      </c>
      <c r="I377" s="450">
        <v>1.6</v>
      </c>
      <c r="J377" s="450" t="s">
        <v>322</v>
      </c>
      <c r="K377" s="469">
        <v>18</v>
      </c>
      <c r="L377" s="470">
        <v>1</v>
      </c>
      <c r="M377" s="509"/>
    </row>
    <row r="378" spans="1:13" ht="12.75">
      <c r="A378" s="466" t="s">
        <v>318</v>
      </c>
      <c r="B378" s="450" t="s">
        <v>335</v>
      </c>
      <c r="C378" s="458" t="s">
        <v>336</v>
      </c>
      <c r="D378" s="449">
        <v>37386</v>
      </c>
      <c r="E378" s="450" t="s">
        <v>245</v>
      </c>
      <c r="F378" s="467">
        <v>1.6</v>
      </c>
      <c r="G378" s="467" t="s">
        <v>321</v>
      </c>
      <c r="H378" s="468">
        <v>2</v>
      </c>
      <c r="I378" s="450">
        <v>1.6</v>
      </c>
      <c r="J378" s="450" t="s">
        <v>322</v>
      </c>
      <c r="K378" s="469">
        <v>18</v>
      </c>
      <c r="L378" s="470">
        <v>1</v>
      </c>
      <c r="M378" s="509"/>
    </row>
    <row r="379" spans="1:13" ht="12.75">
      <c r="A379" s="466" t="s">
        <v>318</v>
      </c>
      <c r="B379" s="450" t="s">
        <v>335</v>
      </c>
      <c r="C379" s="458" t="s">
        <v>336</v>
      </c>
      <c r="D379" s="449">
        <v>37537</v>
      </c>
      <c r="E379" s="450" t="s">
        <v>245</v>
      </c>
      <c r="F379" s="467">
        <v>1</v>
      </c>
      <c r="G379" s="467" t="s">
        <v>321</v>
      </c>
      <c r="H379" s="468">
        <v>2</v>
      </c>
      <c r="I379" s="450">
        <v>1</v>
      </c>
      <c r="J379" s="450" t="s">
        <v>322</v>
      </c>
      <c r="K379" s="469">
        <v>18</v>
      </c>
      <c r="L379" s="470">
        <v>1</v>
      </c>
      <c r="M379" s="509"/>
    </row>
    <row r="380" spans="1:13" ht="12.75">
      <c r="A380" s="466" t="s">
        <v>318</v>
      </c>
      <c r="B380" s="450" t="s">
        <v>335</v>
      </c>
      <c r="C380" s="458" t="s">
        <v>336</v>
      </c>
      <c r="D380" s="449">
        <v>37743</v>
      </c>
      <c r="E380" s="450" t="s">
        <v>245</v>
      </c>
      <c r="F380" s="467">
        <v>1</v>
      </c>
      <c r="G380" s="467" t="s">
        <v>321</v>
      </c>
      <c r="H380" s="468">
        <v>2</v>
      </c>
      <c r="I380" s="450">
        <v>1</v>
      </c>
      <c r="J380" s="450" t="s">
        <v>322</v>
      </c>
      <c r="K380" s="469">
        <v>18</v>
      </c>
      <c r="L380" s="470">
        <v>1</v>
      </c>
      <c r="M380" s="509"/>
    </row>
    <row r="381" spans="1:13" ht="12.75">
      <c r="A381" s="466" t="s">
        <v>318</v>
      </c>
      <c r="B381" s="450" t="s">
        <v>335</v>
      </c>
      <c r="C381" s="458" t="s">
        <v>336</v>
      </c>
      <c r="D381" s="449">
        <v>37897</v>
      </c>
      <c r="E381" s="450" t="s">
        <v>245</v>
      </c>
      <c r="F381" s="467">
        <v>1</v>
      </c>
      <c r="G381" s="467" t="s">
        <v>321</v>
      </c>
      <c r="H381" s="468">
        <v>2</v>
      </c>
      <c r="I381" s="450">
        <v>1</v>
      </c>
      <c r="J381" s="450" t="s">
        <v>322</v>
      </c>
      <c r="K381" s="469">
        <v>18</v>
      </c>
      <c r="L381" s="470">
        <v>1</v>
      </c>
      <c r="M381" s="509"/>
    </row>
    <row r="382" spans="1:13" ht="12.75">
      <c r="A382" s="466" t="s">
        <v>318</v>
      </c>
      <c r="B382" s="450" t="s">
        <v>335</v>
      </c>
      <c r="C382" s="458" t="s">
        <v>336</v>
      </c>
      <c r="D382" s="449">
        <v>38127</v>
      </c>
      <c r="E382" s="450" t="s">
        <v>245</v>
      </c>
      <c r="F382" s="467">
        <v>1</v>
      </c>
      <c r="G382" s="467" t="s">
        <v>321</v>
      </c>
      <c r="H382" s="468">
        <v>20</v>
      </c>
      <c r="I382" s="450">
        <v>1</v>
      </c>
      <c r="J382" s="450" t="s">
        <v>322</v>
      </c>
      <c r="K382" s="469">
        <v>18</v>
      </c>
      <c r="L382" s="470">
        <v>10</v>
      </c>
      <c r="M382" s="509"/>
    </row>
    <row r="383" spans="1:13" ht="12.75">
      <c r="A383" s="466" t="s">
        <v>318</v>
      </c>
      <c r="B383" s="450" t="s">
        <v>335</v>
      </c>
      <c r="C383" s="458" t="s">
        <v>336</v>
      </c>
      <c r="D383" s="449">
        <v>38273</v>
      </c>
      <c r="E383" s="450" t="s">
        <v>245</v>
      </c>
      <c r="F383" s="467">
        <v>0.33</v>
      </c>
      <c r="G383" s="467" t="s">
        <v>321</v>
      </c>
      <c r="H383" s="468">
        <v>2</v>
      </c>
      <c r="I383" s="450">
        <v>0.33</v>
      </c>
      <c r="J383" s="450" t="s">
        <v>322</v>
      </c>
      <c r="K383" s="469">
        <v>18</v>
      </c>
      <c r="L383" s="470">
        <v>1</v>
      </c>
      <c r="M383" s="509"/>
    </row>
    <row r="384" spans="1:13" ht="12.75">
      <c r="A384" s="466" t="s">
        <v>318</v>
      </c>
      <c r="B384" s="450" t="s">
        <v>335</v>
      </c>
      <c r="C384" s="458" t="s">
        <v>336</v>
      </c>
      <c r="D384" s="449">
        <v>38477</v>
      </c>
      <c r="E384" s="450" t="s">
        <v>245</v>
      </c>
      <c r="F384" s="467">
        <v>0.33</v>
      </c>
      <c r="G384" s="467" t="s">
        <v>321</v>
      </c>
      <c r="H384" s="468">
        <v>2</v>
      </c>
      <c r="I384" s="450">
        <v>0.33</v>
      </c>
      <c r="J384" s="450" t="s">
        <v>322</v>
      </c>
      <c r="K384" s="469">
        <v>18</v>
      </c>
      <c r="L384" s="470">
        <v>1</v>
      </c>
      <c r="M384" s="509"/>
    </row>
    <row r="385" spans="1:13" ht="12.75">
      <c r="A385" s="466" t="s">
        <v>318</v>
      </c>
      <c r="B385" s="450" t="s">
        <v>335</v>
      </c>
      <c r="C385" s="458" t="s">
        <v>53</v>
      </c>
      <c r="D385" s="449">
        <v>37173</v>
      </c>
      <c r="E385" s="450" t="s">
        <v>245</v>
      </c>
      <c r="F385" s="467">
        <v>0.27</v>
      </c>
      <c r="G385" s="467" t="s">
        <v>321</v>
      </c>
      <c r="H385" s="468">
        <v>0.5</v>
      </c>
      <c r="I385" s="450">
        <v>0.27</v>
      </c>
      <c r="J385" s="450" t="s">
        <v>322</v>
      </c>
      <c r="K385" s="469">
        <v>19</v>
      </c>
      <c r="L385" s="470">
        <v>1</v>
      </c>
      <c r="M385" s="509"/>
    </row>
    <row r="386" spans="1:13" ht="12.75">
      <c r="A386" s="466" t="s">
        <v>318</v>
      </c>
      <c r="B386" s="450" t="s">
        <v>335</v>
      </c>
      <c r="C386" s="458" t="s">
        <v>53</v>
      </c>
      <c r="D386" s="449">
        <v>37386</v>
      </c>
      <c r="E386" s="450" t="s">
        <v>245</v>
      </c>
      <c r="F386" s="467">
        <v>0.27</v>
      </c>
      <c r="G386" s="467" t="s">
        <v>321</v>
      </c>
      <c r="H386" s="468">
        <v>0.5</v>
      </c>
      <c r="I386" s="450">
        <v>0.27</v>
      </c>
      <c r="J386" s="450" t="s">
        <v>322</v>
      </c>
      <c r="K386" s="469">
        <v>19</v>
      </c>
      <c r="L386" s="470">
        <v>1</v>
      </c>
      <c r="M386" s="509"/>
    </row>
    <row r="387" spans="1:13" ht="12.75">
      <c r="A387" s="466" t="s">
        <v>318</v>
      </c>
      <c r="B387" s="450" t="s">
        <v>335</v>
      </c>
      <c r="C387" s="458" t="s">
        <v>53</v>
      </c>
      <c r="D387" s="449">
        <v>37537</v>
      </c>
      <c r="E387" s="450" t="s">
        <v>245</v>
      </c>
      <c r="F387" s="467">
        <v>0.3</v>
      </c>
      <c r="G387" s="467" t="s">
        <v>321</v>
      </c>
      <c r="H387" s="468">
        <v>0.5</v>
      </c>
      <c r="I387" s="450">
        <v>0.3</v>
      </c>
      <c r="J387" s="450" t="s">
        <v>322</v>
      </c>
      <c r="K387" s="469">
        <v>19</v>
      </c>
      <c r="L387" s="470">
        <v>1</v>
      </c>
      <c r="M387" s="509"/>
    </row>
    <row r="388" spans="1:13" ht="12.75">
      <c r="A388" s="466" t="s">
        <v>318</v>
      </c>
      <c r="B388" s="450" t="s">
        <v>335</v>
      </c>
      <c r="C388" s="458" t="s">
        <v>53</v>
      </c>
      <c r="D388" s="449">
        <v>37743</v>
      </c>
      <c r="E388" s="450" t="s">
        <v>245</v>
      </c>
      <c r="F388" s="467">
        <v>0.3</v>
      </c>
      <c r="G388" s="467" t="s">
        <v>321</v>
      </c>
      <c r="H388" s="468">
        <v>0.5</v>
      </c>
      <c r="I388" s="450">
        <v>0.3</v>
      </c>
      <c r="J388" s="450" t="s">
        <v>322</v>
      </c>
      <c r="K388" s="469">
        <v>19</v>
      </c>
      <c r="L388" s="470">
        <v>1</v>
      </c>
      <c r="M388" s="509"/>
    </row>
    <row r="389" spans="1:13" ht="12.75">
      <c r="A389" s="466" t="s">
        <v>318</v>
      </c>
      <c r="B389" s="450" t="s">
        <v>335</v>
      </c>
      <c r="C389" s="458" t="s">
        <v>53</v>
      </c>
      <c r="D389" s="449">
        <v>37897</v>
      </c>
      <c r="E389" s="450" t="s">
        <v>245</v>
      </c>
      <c r="F389" s="467">
        <v>0.3</v>
      </c>
      <c r="G389" s="467" t="s">
        <v>321</v>
      </c>
      <c r="H389" s="468">
        <v>0.5</v>
      </c>
      <c r="I389" s="450">
        <v>0.3</v>
      </c>
      <c r="J389" s="450" t="s">
        <v>322</v>
      </c>
      <c r="K389" s="469">
        <v>19</v>
      </c>
      <c r="L389" s="470">
        <v>1</v>
      </c>
      <c r="M389" s="509"/>
    </row>
    <row r="390" spans="1:13" ht="12.75">
      <c r="A390" s="466" t="s">
        <v>318</v>
      </c>
      <c r="B390" s="450" t="s">
        <v>335</v>
      </c>
      <c r="C390" s="458" t="s">
        <v>53</v>
      </c>
      <c r="D390" s="449">
        <v>38127</v>
      </c>
      <c r="E390" s="450" t="s">
        <v>245</v>
      </c>
      <c r="F390" s="467">
        <v>0.3</v>
      </c>
      <c r="G390" s="467" t="s">
        <v>321</v>
      </c>
      <c r="H390" s="468">
        <v>5</v>
      </c>
      <c r="I390" s="450">
        <v>0.3</v>
      </c>
      <c r="J390" s="450" t="s">
        <v>322</v>
      </c>
      <c r="K390" s="469">
        <v>19</v>
      </c>
      <c r="L390" s="470">
        <v>10</v>
      </c>
      <c r="M390" s="509"/>
    </row>
    <row r="391" spans="1:13" ht="12.75">
      <c r="A391" s="466" t="s">
        <v>318</v>
      </c>
      <c r="B391" s="450" t="s">
        <v>335</v>
      </c>
      <c r="C391" s="458" t="s">
        <v>53</v>
      </c>
      <c r="D391" s="449">
        <v>38273</v>
      </c>
      <c r="E391" s="450" t="s">
        <v>245</v>
      </c>
      <c r="F391" s="467">
        <v>0.06</v>
      </c>
      <c r="G391" s="467" t="s">
        <v>321</v>
      </c>
      <c r="H391" s="468">
        <v>0.5</v>
      </c>
      <c r="I391" s="450">
        <v>0.06</v>
      </c>
      <c r="J391" s="450" t="s">
        <v>322</v>
      </c>
      <c r="K391" s="469">
        <v>19</v>
      </c>
      <c r="L391" s="470">
        <v>1</v>
      </c>
      <c r="M391" s="509"/>
    </row>
    <row r="392" spans="1:13" ht="12.75">
      <c r="A392" s="466" t="s">
        <v>318</v>
      </c>
      <c r="B392" s="450" t="s">
        <v>335</v>
      </c>
      <c r="C392" s="458" t="s">
        <v>53</v>
      </c>
      <c r="D392" s="449">
        <v>38477</v>
      </c>
      <c r="E392" s="450" t="s">
        <v>245</v>
      </c>
      <c r="F392" s="467">
        <v>0.06</v>
      </c>
      <c r="G392" s="467" t="s">
        <v>321</v>
      </c>
      <c r="H392" s="468">
        <v>0.5</v>
      </c>
      <c r="I392" s="450">
        <v>0.06</v>
      </c>
      <c r="J392" s="450" t="s">
        <v>322</v>
      </c>
      <c r="K392" s="469">
        <v>19</v>
      </c>
      <c r="L392" s="470">
        <v>1</v>
      </c>
      <c r="M392" s="509"/>
    </row>
    <row r="393" spans="1:13" ht="12.75">
      <c r="A393" s="466" t="s">
        <v>318</v>
      </c>
      <c r="B393" s="450" t="s">
        <v>335</v>
      </c>
      <c r="C393" s="458" t="s">
        <v>54</v>
      </c>
      <c r="D393" s="449">
        <v>37173</v>
      </c>
      <c r="E393" s="450" t="s">
        <v>245</v>
      </c>
      <c r="F393" s="467">
        <v>0.1</v>
      </c>
      <c r="G393" s="467" t="s">
        <v>321</v>
      </c>
      <c r="H393" s="468">
        <v>0.5</v>
      </c>
      <c r="I393" s="450">
        <v>0.1</v>
      </c>
      <c r="J393" s="450" t="s">
        <v>322</v>
      </c>
      <c r="K393" s="469">
        <v>20</v>
      </c>
      <c r="L393" s="470">
        <v>1</v>
      </c>
      <c r="M393" s="509"/>
    </row>
    <row r="394" spans="1:13" ht="12.75">
      <c r="A394" s="466" t="s">
        <v>318</v>
      </c>
      <c r="B394" s="450" t="s">
        <v>335</v>
      </c>
      <c r="C394" s="458" t="s">
        <v>54</v>
      </c>
      <c r="D394" s="449">
        <v>37386</v>
      </c>
      <c r="E394" s="450" t="s">
        <v>245</v>
      </c>
      <c r="F394" s="467">
        <v>0.1</v>
      </c>
      <c r="G394" s="467" t="s">
        <v>321</v>
      </c>
      <c r="H394" s="468">
        <v>0.5</v>
      </c>
      <c r="I394" s="450">
        <v>0.1</v>
      </c>
      <c r="J394" s="450" t="s">
        <v>322</v>
      </c>
      <c r="K394" s="469">
        <v>20</v>
      </c>
      <c r="L394" s="470">
        <v>1</v>
      </c>
      <c r="M394" s="509"/>
    </row>
    <row r="395" spans="1:13" ht="12.75">
      <c r="A395" s="466" t="s">
        <v>318</v>
      </c>
      <c r="B395" s="450" t="s">
        <v>335</v>
      </c>
      <c r="C395" s="458" t="s">
        <v>54</v>
      </c>
      <c r="D395" s="449">
        <v>37537</v>
      </c>
      <c r="E395" s="450" t="s">
        <v>245</v>
      </c>
      <c r="F395" s="467">
        <v>0.2</v>
      </c>
      <c r="G395" s="467" t="s">
        <v>321</v>
      </c>
      <c r="H395" s="468">
        <v>0.5</v>
      </c>
      <c r="I395" s="450">
        <v>0.2</v>
      </c>
      <c r="J395" s="450" t="s">
        <v>322</v>
      </c>
      <c r="K395" s="469">
        <v>20</v>
      </c>
      <c r="L395" s="470">
        <v>1</v>
      </c>
      <c r="M395" s="509"/>
    </row>
    <row r="396" spans="1:13" ht="12.75">
      <c r="A396" s="466" t="s">
        <v>318</v>
      </c>
      <c r="B396" s="450" t="s">
        <v>335</v>
      </c>
      <c r="C396" s="458" t="s">
        <v>54</v>
      </c>
      <c r="D396" s="449">
        <v>37743</v>
      </c>
      <c r="E396" s="450" t="s">
        <v>245</v>
      </c>
      <c r="F396" s="467">
        <v>0.2</v>
      </c>
      <c r="G396" s="467" t="s">
        <v>321</v>
      </c>
      <c r="H396" s="468">
        <v>0.5</v>
      </c>
      <c r="I396" s="450">
        <v>0.2</v>
      </c>
      <c r="J396" s="450" t="s">
        <v>322</v>
      </c>
      <c r="K396" s="469">
        <v>20</v>
      </c>
      <c r="L396" s="470">
        <v>1</v>
      </c>
      <c r="M396" s="509"/>
    </row>
    <row r="397" spans="1:13" ht="12.75">
      <c r="A397" s="466" t="s">
        <v>318</v>
      </c>
      <c r="B397" s="450" t="s">
        <v>335</v>
      </c>
      <c r="C397" s="458" t="s">
        <v>54</v>
      </c>
      <c r="D397" s="449">
        <v>37897</v>
      </c>
      <c r="E397" s="450" t="s">
        <v>245</v>
      </c>
      <c r="F397" s="467">
        <v>0.2</v>
      </c>
      <c r="G397" s="467" t="s">
        <v>321</v>
      </c>
      <c r="H397" s="468">
        <v>0.5</v>
      </c>
      <c r="I397" s="450">
        <v>0.2</v>
      </c>
      <c r="J397" s="450" t="s">
        <v>322</v>
      </c>
      <c r="K397" s="469">
        <v>20</v>
      </c>
      <c r="L397" s="470">
        <v>1</v>
      </c>
      <c r="M397" s="509"/>
    </row>
    <row r="398" spans="1:13" ht="12.75">
      <c r="A398" s="466" t="s">
        <v>318</v>
      </c>
      <c r="B398" s="450" t="s">
        <v>335</v>
      </c>
      <c r="C398" s="458" t="s">
        <v>54</v>
      </c>
      <c r="D398" s="449">
        <v>38127</v>
      </c>
      <c r="E398" s="450" t="s">
        <v>245</v>
      </c>
      <c r="F398" s="467">
        <v>0.2</v>
      </c>
      <c r="G398" s="467" t="s">
        <v>321</v>
      </c>
      <c r="H398" s="468">
        <v>5</v>
      </c>
      <c r="I398" s="450">
        <v>0.2</v>
      </c>
      <c r="J398" s="450" t="s">
        <v>322</v>
      </c>
      <c r="K398" s="469">
        <v>20</v>
      </c>
      <c r="L398" s="470">
        <v>10</v>
      </c>
      <c r="M398" s="509"/>
    </row>
    <row r="399" spans="1:13" ht="12.75">
      <c r="A399" s="466" t="s">
        <v>318</v>
      </c>
      <c r="B399" s="450" t="s">
        <v>335</v>
      </c>
      <c r="C399" s="458" t="s">
        <v>54</v>
      </c>
      <c r="D399" s="449">
        <v>38273</v>
      </c>
      <c r="E399" s="450" t="s">
        <v>322</v>
      </c>
      <c r="F399" s="467">
        <v>0.5</v>
      </c>
      <c r="G399" s="467" t="s">
        <v>321</v>
      </c>
      <c r="H399" s="468">
        <v>0.5</v>
      </c>
      <c r="I399" s="450">
        <v>0.07</v>
      </c>
      <c r="J399" s="450" t="s">
        <v>322</v>
      </c>
      <c r="K399" s="469">
        <v>20</v>
      </c>
      <c r="L399" s="470">
        <v>1</v>
      </c>
      <c r="M399" s="509"/>
    </row>
    <row r="400" spans="1:13" ht="12.75">
      <c r="A400" s="466" t="s">
        <v>318</v>
      </c>
      <c r="B400" s="450" t="s">
        <v>335</v>
      </c>
      <c r="C400" s="458" t="s">
        <v>54</v>
      </c>
      <c r="D400" s="449">
        <v>38477</v>
      </c>
      <c r="E400" s="450" t="s">
        <v>322</v>
      </c>
      <c r="F400" s="467">
        <v>1.2</v>
      </c>
      <c r="G400" s="467" t="s">
        <v>321</v>
      </c>
      <c r="H400" s="468">
        <v>0.5</v>
      </c>
      <c r="I400" s="450">
        <v>0.07</v>
      </c>
      <c r="J400" s="450" t="s">
        <v>322</v>
      </c>
      <c r="K400" s="469">
        <v>20</v>
      </c>
      <c r="L400" s="470">
        <v>1</v>
      </c>
      <c r="M400" s="509"/>
    </row>
    <row r="401" spans="1:13" ht="12.75">
      <c r="A401" s="466" t="s">
        <v>318</v>
      </c>
      <c r="B401" s="450" t="s">
        <v>335</v>
      </c>
      <c r="C401" s="458" t="s">
        <v>337</v>
      </c>
      <c r="D401" s="449">
        <v>37173</v>
      </c>
      <c r="E401" s="450" t="s">
        <v>245</v>
      </c>
      <c r="F401" s="467">
        <v>0.42</v>
      </c>
      <c r="G401" s="467" t="s">
        <v>321</v>
      </c>
      <c r="H401" s="468">
        <v>0.5</v>
      </c>
      <c r="I401" s="450">
        <v>0.42</v>
      </c>
      <c r="J401" s="450" t="s">
        <v>322</v>
      </c>
      <c r="K401" s="469">
        <v>21</v>
      </c>
      <c r="L401" s="470">
        <v>1</v>
      </c>
      <c r="M401" s="509"/>
    </row>
    <row r="402" spans="1:13" ht="12.75">
      <c r="A402" s="466" t="s">
        <v>318</v>
      </c>
      <c r="B402" s="450" t="s">
        <v>335</v>
      </c>
      <c r="C402" s="458" t="s">
        <v>337</v>
      </c>
      <c r="D402" s="449">
        <v>37386</v>
      </c>
      <c r="E402" s="450" t="s">
        <v>245</v>
      </c>
      <c r="F402" s="467">
        <v>0.42</v>
      </c>
      <c r="G402" s="467" t="s">
        <v>321</v>
      </c>
      <c r="H402" s="468">
        <v>0.5</v>
      </c>
      <c r="I402" s="450">
        <v>0.42</v>
      </c>
      <c r="J402" s="450" t="s">
        <v>322</v>
      </c>
      <c r="K402" s="469">
        <v>21</v>
      </c>
      <c r="L402" s="470">
        <v>1</v>
      </c>
      <c r="M402" s="509"/>
    </row>
    <row r="403" spans="1:13" ht="12.75">
      <c r="A403" s="466" t="s">
        <v>318</v>
      </c>
      <c r="B403" s="450" t="s">
        <v>335</v>
      </c>
      <c r="C403" s="458" t="s">
        <v>337</v>
      </c>
      <c r="D403" s="449">
        <v>37537</v>
      </c>
      <c r="E403" s="450" t="s">
        <v>245</v>
      </c>
      <c r="F403" s="467">
        <v>0.42</v>
      </c>
      <c r="G403" s="467" t="s">
        <v>321</v>
      </c>
      <c r="H403" s="468">
        <v>0.5</v>
      </c>
      <c r="I403" s="450">
        <v>0.42</v>
      </c>
      <c r="J403" s="450" t="s">
        <v>322</v>
      </c>
      <c r="K403" s="469">
        <v>21</v>
      </c>
      <c r="L403" s="470">
        <v>1</v>
      </c>
      <c r="M403" s="509"/>
    </row>
    <row r="404" spans="1:13" ht="12.75">
      <c r="A404" s="466" t="s">
        <v>318</v>
      </c>
      <c r="B404" s="450" t="s">
        <v>335</v>
      </c>
      <c r="C404" s="458" t="s">
        <v>337</v>
      </c>
      <c r="D404" s="449">
        <v>37743</v>
      </c>
      <c r="E404" s="450" t="s">
        <v>245</v>
      </c>
      <c r="F404" s="467">
        <v>0.42</v>
      </c>
      <c r="G404" s="467" t="s">
        <v>321</v>
      </c>
      <c r="H404" s="468">
        <v>0.5</v>
      </c>
      <c r="I404" s="450">
        <v>0.42</v>
      </c>
      <c r="J404" s="450" t="s">
        <v>322</v>
      </c>
      <c r="K404" s="469">
        <v>21</v>
      </c>
      <c r="L404" s="470">
        <v>1</v>
      </c>
      <c r="M404" s="509"/>
    </row>
    <row r="405" spans="1:13" ht="12.75">
      <c r="A405" s="466" t="s">
        <v>318</v>
      </c>
      <c r="B405" s="450" t="s">
        <v>335</v>
      </c>
      <c r="C405" s="458" t="s">
        <v>337</v>
      </c>
      <c r="D405" s="449">
        <v>37897</v>
      </c>
      <c r="E405" s="450" t="s">
        <v>245</v>
      </c>
      <c r="F405" s="467">
        <v>0.42</v>
      </c>
      <c r="G405" s="467" t="s">
        <v>321</v>
      </c>
      <c r="H405" s="468">
        <v>0.5</v>
      </c>
      <c r="I405" s="450">
        <v>0.42</v>
      </c>
      <c r="J405" s="450" t="s">
        <v>322</v>
      </c>
      <c r="K405" s="469">
        <v>21</v>
      </c>
      <c r="L405" s="470">
        <v>1</v>
      </c>
      <c r="M405" s="509"/>
    </row>
    <row r="406" spans="1:13" ht="12.75">
      <c r="A406" s="466" t="s">
        <v>318</v>
      </c>
      <c r="B406" s="450" t="s">
        <v>335</v>
      </c>
      <c r="C406" s="458" t="s">
        <v>337</v>
      </c>
      <c r="D406" s="449">
        <v>38127</v>
      </c>
      <c r="E406" s="450" t="s">
        <v>245</v>
      </c>
      <c r="F406" s="467">
        <v>0.42</v>
      </c>
      <c r="G406" s="467" t="s">
        <v>321</v>
      </c>
      <c r="H406" s="468">
        <v>5</v>
      </c>
      <c r="I406" s="450">
        <v>0.42</v>
      </c>
      <c r="J406" s="450" t="s">
        <v>322</v>
      </c>
      <c r="K406" s="469">
        <v>21</v>
      </c>
      <c r="L406" s="470">
        <v>10</v>
      </c>
      <c r="M406" s="509"/>
    </row>
    <row r="407" spans="1:13" ht="12.75">
      <c r="A407" s="466" t="s">
        <v>318</v>
      </c>
      <c r="B407" s="450" t="s">
        <v>335</v>
      </c>
      <c r="C407" s="458" t="s">
        <v>337</v>
      </c>
      <c r="D407" s="449">
        <v>38273</v>
      </c>
      <c r="E407" s="450" t="s">
        <v>245</v>
      </c>
      <c r="F407" s="467">
        <v>0.06</v>
      </c>
      <c r="G407" s="467" t="s">
        <v>321</v>
      </c>
      <c r="H407" s="468">
        <v>0.5</v>
      </c>
      <c r="I407" s="450">
        <v>0.06</v>
      </c>
      <c r="J407" s="450" t="s">
        <v>322</v>
      </c>
      <c r="K407" s="469">
        <v>21</v>
      </c>
      <c r="L407" s="470">
        <v>1</v>
      </c>
      <c r="M407" s="509"/>
    </row>
    <row r="408" spans="1:13" ht="12.75">
      <c r="A408" s="466" t="s">
        <v>318</v>
      </c>
      <c r="B408" s="450" t="s">
        <v>335</v>
      </c>
      <c r="C408" s="458" t="s">
        <v>337</v>
      </c>
      <c r="D408" s="449">
        <v>38477</v>
      </c>
      <c r="E408" s="450" t="s">
        <v>245</v>
      </c>
      <c r="F408" s="467">
        <v>0.06</v>
      </c>
      <c r="G408" s="467" t="s">
        <v>321</v>
      </c>
      <c r="H408" s="468">
        <v>0.5</v>
      </c>
      <c r="I408" s="450">
        <v>0.06</v>
      </c>
      <c r="J408" s="450" t="s">
        <v>322</v>
      </c>
      <c r="K408" s="469">
        <v>21</v>
      </c>
      <c r="L408" s="470">
        <v>1</v>
      </c>
      <c r="M408" s="509"/>
    </row>
    <row r="409" spans="1:13" ht="12.75">
      <c r="A409" s="466" t="s">
        <v>318</v>
      </c>
      <c r="B409" s="450" t="s">
        <v>335</v>
      </c>
      <c r="C409" s="458" t="s">
        <v>338</v>
      </c>
      <c r="D409" s="449">
        <v>37173</v>
      </c>
      <c r="E409" s="450" t="s">
        <v>245</v>
      </c>
      <c r="F409" s="467">
        <v>0.19</v>
      </c>
      <c r="G409" s="467" t="s">
        <v>321</v>
      </c>
      <c r="H409" s="468">
        <v>0.5</v>
      </c>
      <c r="I409" s="450">
        <v>0.19</v>
      </c>
      <c r="J409" s="450" t="s">
        <v>322</v>
      </c>
      <c r="K409" s="469">
        <v>22</v>
      </c>
      <c r="L409" s="470">
        <v>1</v>
      </c>
      <c r="M409" s="509"/>
    </row>
    <row r="410" spans="1:13" ht="12.75">
      <c r="A410" s="466" t="s">
        <v>318</v>
      </c>
      <c r="B410" s="450" t="s">
        <v>335</v>
      </c>
      <c r="C410" s="458" t="s">
        <v>338</v>
      </c>
      <c r="D410" s="449">
        <v>37386</v>
      </c>
      <c r="E410" s="450" t="s">
        <v>245</v>
      </c>
      <c r="F410" s="467">
        <v>0.19</v>
      </c>
      <c r="G410" s="467" t="s">
        <v>321</v>
      </c>
      <c r="H410" s="468">
        <v>0.5</v>
      </c>
      <c r="I410" s="450">
        <v>0.19</v>
      </c>
      <c r="J410" s="450" t="s">
        <v>322</v>
      </c>
      <c r="K410" s="469">
        <v>22</v>
      </c>
      <c r="L410" s="470">
        <v>1</v>
      </c>
      <c r="M410" s="509"/>
    </row>
    <row r="411" spans="1:13" ht="12.75">
      <c r="A411" s="466" t="s">
        <v>318</v>
      </c>
      <c r="B411" s="450" t="s">
        <v>335</v>
      </c>
      <c r="C411" s="458" t="s">
        <v>338</v>
      </c>
      <c r="D411" s="449">
        <v>37537</v>
      </c>
      <c r="E411" s="450" t="s">
        <v>245</v>
      </c>
      <c r="F411" s="467">
        <v>0.3</v>
      </c>
      <c r="G411" s="467" t="s">
        <v>321</v>
      </c>
      <c r="H411" s="468">
        <v>0.5</v>
      </c>
      <c r="I411" s="450">
        <v>0.3</v>
      </c>
      <c r="J411" s="450" t="s">
        <v>322</v>
      </c>
      <c r="K411" s="469">
        <v>22</v>
      </c>
      <c r="L411" s="470">
        <v>1</v>
      </c>
      <c r="M411" s="509"/>
    </row>
    <row r="412" spans="1:13" ht="12.75">
      <c r="A412" s="466" t="s">
        <v>318</v>
      </c>
      <c r="B412" s="450" t="s">
        <v>335</v>
      </c>
      <c r="C412" s="458" t="s">
        <v>338</v>
      </c>
      <c r="D412" s="449">
        <v>37743</v>
      </c>
      <c r="E412" s="450" t="s">
        <v>245</v>
      </c>
      <c r="F412" s="467">
        <v>0.3</v>
      </c>
      <c r="G412" s="467" t="s">
        <v>321</v>
      </c>
      <c r="H412" s="468">
        <v>0.5</v>
      </c>
      <c r="I412" s="450">
        <v>0.3</v>
      </c>
      <c r="J412" s="450" t="s">
        <v>322</v>
      </c>
      <c r="K412" s="469">
        <v>22</v>
      </c>
      <c r="L412" s="470">
        <v>1</v>
      </c>
      <c r="M412" s="509"/>
    </row>
    <row r="413" spans="1:13" ht="12.75">
      <c r="A413" s="466" t="s">
        <v>318</v>
      </c>
      <c r="B413" s="450" t="s">
        <v>335</v>
      </c>
      <c r="C413" s="458" t="s">
        <v>338</v>
      </c>
      <c r="D413" s="449">
        <v>37897</v>
      </c>
      <c r="E413" s="450" t="s">
        <v>245</v>
      </c>
      <c r="F413" s="467">
        <v>0.3</v>
      </c>
      <c r="G413" s="467" t="s">
        <v>321</v>
      </c>
      <c r="H413" s="468">
        <v>0.5</v>
      </c>
      <c r="I413" s="450">
        <v>0.3</v>
      </c>
      <c r="J413" s="450" t="s">
        <v>322</v>
      </c>
      <c r="K413" s="469">
        <v>22</v>
      </c>
      <c r="L413" s="470">
        <v>1</v>
      </c>
      <c r="M413" s="509"/>
    </row>
    <row r="414" spans="1:13" ht="12.75">
      <c r="A414" s="466" t="s">
        <v>318</v>
      </c>
      <c r="B414" s="450" t="s">
        <v>335</v>
      </c>
      <c r="C414" s="458" t="s">
        <v>338</v>
      </c>
      <c r="D414" s="449">
        <v>38127</v>
      </c>
      <c r="E414" s="450" t="s">
        <v>245</v>
      </c>
      <c r="F414" s="467">
        <v>0.3</v>
      </c>
      <c r="G414" s="467" t="s">
        <v>321</v>
      </c>
      <c r="H414" s="468">
        <v>5</v>
      </c>
      <c r="I414" s="450">
        <v>0.3</v>
      </c>
      <c r="J414" s="450" t="s">
        <v>322</v>
      </c>
      <c r="K414" s="469">
        <v>22</v>
      </c>
      <c r="L414" s="470">
        <v>10</v>
      </c>
      <c r="M414" s="509"/>
    </row>
    <row r="415" spans="1:13" ht="12.75">
      <c r="A415" s="466" t="s">
        <v>318</v>
      </c>
      <c r="B415" s="450" t="s">
        <v>335</v>
      </c>
      <c r="C415" s="458" t="s">
        <v>338</v>
      </c>
      <c r="D415" s="449">
        <v>38273</v>
      </c>
      <c r="E415" s="450" t="s">
        <v>245</v>
      </c>
      <c r="F415" s="467">
        <v>0.06</v>
      </c>
      <c r="G415" s="467" t="s">
        <v>321</v>
      </c>
      <c r="H415" s="468">
        <v>0.5</v>
      </c>
      <c r="I415" s="450">
        <v>0.06</v>
      </c>
      <c r="J415" s="450" t="s">
        <v>322</v>
      </c>
      <c r="K415" s="469">
        <v>22</v>
      </c>
      <c r="L415" s="470">
        <v>1</v>
      </c>
      <c r="M415" s="509"/>
    </row>
    <row r="416" spans="1:13" ht="12.75">
      <c r="A416" s="466" t="s">
        <v>318</v>
      </c>
      <c r="B416" s="450" t="s">
        <v>335</v>
      </c>
      <c r="C416" s="458" t="s">
        <v>338</v>
      </c>
      <c r="D416" s="449">
        <v>38477</v>
      </c>
      <c r="E416" s="450" t="s">
        <v>245</v>
      </c>
      <c r="F416" s="467">
        <v>0.06</v>
      </c>
      <c r="G416" s="467" t="s">
        <v>321</v>
      </c>
      <c r="H416" s="468">
        <v>0.5</v>
      </c>
      <c r="I416" s="450">
        <v>0.06</v>
      </c>
      <c r="J416" s="450" t="s">
        <v>322</v>
      </c>
      <c r="K416" s="469">
        <v>22</v>
      </c>
      <c r="L416" s="470">
        <v>1</v>
      </c>
      <c r="M416" s="509"/>
    </row>
    <row r="417" spans="1:13" ht="12.75">
      <c r="A417" s="466" t="s">
        <v>318</v>
      </c>
      <c r="B417" s="450" t="s">
        <v>335</v>
      </c>
      <c r="C417" s="458" t="s">
        <v>339</v>
      </c>
      <c r="D417" s="449">
        <v>37173</v>
      </c>
      <c r="E417" s="450" t="s">
        <v>245</v>
      </c>
      <c r="F417" s="467">
        <v>0.18</v>
      </c>
      <c r="G417" s="467" t="s">
        <v>321</v>
      </c>
      <c r="H417" s="468">
        <v>0.5</v>
      </c>
      <c r="I417" s="450">
        <v>0.18</v>
      </c>
      <c r="J417" s="450" t="s">
        <v>322</v>
      </c>
      <c r="K417" s="469">
        <v>23</v>
      </c>
      <c r="L417" s="470">
        <v>1</v>
      </c>
      <c r="M417" s="509"/>
    </row>
    <row r="418" spans="1:13" ht="12.75">
      <c r="A418" s="466" t="s">
        <v>318</v>
      </c>
      <c r="B418" s="450" t="s">
        <v>335</v>
      </c>
      <c r="C418" s="458" t="s">
        <v>339</v>
      </c>
      <c r="D418" s="449">
        <v>37386</v>
      </c>
      <c r="E418" s="450" t="s">
        <v>245</v>
      </c>
      <c r="F418" s="467">
        <v>0.18</v>
      </c>
      <c r="G418" s="467" t="s">
        <v>321</v>
      </c>
      <c r="H418" s="468">
        <v>0.5</v>
      </c>
      <c r="I418" s="450">
        <v>0.18</v>
      </c>
      <c r="J418" s="450" t="s">
        <v>322</v>
      </c>
      <c r="K418" s="469">
        <v>23</v>
      </c>
      <c r="L418" s="470">
        <v>1</v>
      </c>
      <c r="M418" s="509"/>
    </row>
    <row r="419" spans="1:13" ht="12.75">
      <c r="A419" s="466" t="s">
        <v>318</v>
      </c>
      <c r="B419" s="450" t="s">
        <v>335</v>
      </c>
      <c r="C419" s="458" t="s">
        <v>339</v>
      </c>
      <c r="D419" s="449">
        <v>37537</v>
      </c>
      <c r="E419" s="450" t="s">
        <v>259</v>
      </c>
      <c r="F419" s="467">
        <v>0.5</v>
      </c>
      <c r="G419" s="467" t="s">
        <v>321</v>
      </c>
      <c r="H419" s="468">
        <v>0.5</v>
      </c>
      <c r="I419" s="450">
        <v>0.3</v>
      </c>
      <c r="J419" s="450" t="s">
        <v>322</v>
      </c>
      <c r="K419" s="469">
        <v>23</v>
      </c>
      <c r="L419" s="470">
        <v>1</v>
      </c>
      <c r="M419" s="509"/>
    </row>
    <row r="420" spans="1:13" ht="12.75">
      <c r="A420" s="466" t="s">
        <v>318</v>
      </c>
      <c r="B420" s="450" t="s">
        <v>335</v>
      </c>
      <c r="C420" s="458" t="s">
        <v>339</v>
      </c>
      <c r="D420" s="449">
        <v>37743</v>
      </c>
      <c r="E420" s="450" t="s">
        <v>245</v>
      </c>
      <c r="F420" s="467">
        <v>0.3</v>
      </c>
      <c r="G420" s="467" t="s">
        <v>321</v>
      </c>
      <c r="H420" s="468">
        <v>0.5</v>
      </c>
      <c r="I420" s="450">
        <v>0.3</v>
      </c>
      <c r="J420" s="450" t="s">
        <v>322</v>
      </c>
      <c r="K420" s="469">
        <v>23</v>
      </c>
      <c r="L420" s="470">
        <v>1</v>
      </c>
      <c r="M420" s="509"/>
    </row>
    <row r="421" spans="1:13" ht="12.75">
      <c r="A421" s="466" t="s">
        <v>318</v>
      </c>
      <c r="B421" s="450" t="s">
        <v>335</v>
      </c>
      <c r="C421" s="458" t="s">
        <v>339</v>
      </c>
      <c r="D421" s="449">
        <v>37897</v>
      </c>
      <c r="E421" s="450" t="s">
        <v>245</v>
      </c>
      <c r="F421" s="467">
        <v>0.3</v>
      </c>
      <c r="G421" s="467" t="s">
        <v>321</v>
      </c>
      <c r="H421" s="468">
        <v>0.5</v>
      </c>
      <c r="I421" s="450">
        <v>0.3</v>
      </c>
      <c r="J421" s="450" t="s">
        <v>322</v>
      </c>
      <c r="K421" s="469">
        <v>23</v>
      </c>
      <c r="L421" s="470">
        <v>1</v>
      </c>
      <c r="M421" s="509"/>
    </row>
    <row r="422" spans="1:13" ht="12.75">
      <c r="A422" s="466" t="s">
        <v>318</v>
      </c>
      <c r="B422" s="450" t="s">
        <v>335</v>
      </c>
      <c r="C422" s="458" t="s">
        <v>339</v>
      </c>
      <c r="D422" s="449">
        <v>38127</v>
      </c>
      <c r="E422" s="450" t="s">
        <v>245</v>
      </c>
      <c r="F422" s="467">
        <v>0.3</v>
      </c>
      <c r="G422" s="467" t="s">
        <v>321</v>
      </c>
      <c r="H422" s="468">
        <v>5</v>
      </c>
      <c r="I422" s="450">
        <v>0.3</v>
      </c>
      <c r="J422" s="450" t="s">
        <v>322</v>
      </c>
      <c r="K422" s="469">
        <v>23</v>
      </c>
      <c r="L422" s="470">
        <v>10</v>
      </c>
      <c r="M422" s="509"/>
    </row>
    <row r="423" spans="1:13" ht="12.75">
      <c r="A423" s="466" t="s">
        <v>318</v>
      </c>
      <c r="B423" s="450" t="s">
        <v>335</v>
      </c>
      <c r="C423" s="458" t="s">
        <v>339</v>
      </c>
      <c r="D423" s="449">
        <v>38273</v>
      </c>
      <c r="E423" s="450" t="s">
        <v>322</v>
      </c>
      <c r="F423" s="467">
        <v>7.4</v>
      </c>
      <c r="G423" s="467" t="s">
        <v>321</v>
      </c>
      <c r="H423" s="468">
        <v>0.5</v>
      </c>
      <c r="I423" s="450">
        <v>0.07</v>
      </c>
      <c r="J423" s="450" t="s">
        <v>322</v>
      </c>
      <c r="K423" s="469">
        <v>23</v>
      </c>
      <c r="L423" s="470">
        <v>1</v>
      </c>
      <c r="M423" s="509"/>
    </row>
    <row r="424" spans="1:13" ht="12.75">
      <c r="A424" s="466" t="s">
        <v>318</v>
      </c>
      <c r="B424" s="450" t="s">
        <v>335</v>
      </c>
      <c r="C424" s="458" t="s">
        <v>339</v>
      </c>
      <c r="D424" s="449">
        <v>38477</v>
      </c>
      <c r="E424" s="450" t="s">
        <v>322</v>
      </c>
      <c r="F424" s="467">
        <v>14</v>
      </c>
      <c r="G424" s="467" t="s">
        <v>321</v>
      </c>
      <c r="H424" s="468">
        <v>0.5</v>
      </c>
      <c r="I424" s="450">
        <v>0.07</v>
      </c>
      <c r="J424" s="450" t="s">
        <v>322</v>
      </c>
      <c r="K424" s="469">
        <v>23</v>
      </c>
      <c r="L424" s="470">
        <v>1</v>
      </c>
      <c r="M424" s="509"/>
    </row>
    <row r="425" spans="1:13" ht="12.75">
      <c r="A425" s="466" t="s">
        <v>318</v>
      </c>
      <c r="B425" s="450" t="s">
        <v>335</v>
      </c>
      <c r="C425" s="458" t="s">
        <v>57</v>
      </c>
      <c r="D425" s="449">
        <v>37173</v>
      </c>
      <c r="E425" s="450" t="s">
        <v>245</v>
      </c>
      <c r="F425" s="467">
        <v>0.34</v>
      </c>
      <c r="G425" s="467" t="s">
        <v>321</v>
      </c>
      <c r="H425" s="468">
        <v>0.5</v>
      </c>
      <c r="I425" s="450">
        <v>0.34</v>
      </c>
      <c r="J425" s="450" t="s">
        <v>322</v>
      </c>
      <c r="K425" s="469">
        <v>24</v>
      </c>
      <c r="L425" s="470">
        <v>1</v>
      </c>
      <c r="M425" s="509"/>
    </row>
    <row r="426" spans="1:13" ht="12.75">
      <c r="A426" s="466" t="s">
        <v>318</v>
      </c>
      <c r="B426" s="450" t="s">
        <v>335</v>
      </c>
      <c r="C426" s="458" t="s">
        <v>57</v>
      </c>
      <c r="D426" s="449">
        <v>37386</v>
      </c>
      <c r="E426" s="450" t="s">
        <v>245</v>
      </c>
      <c r="F426" s="467">
        <v>0.34</v>
      </c>
      <c r="G426" s="467" t="s">
        <v>321</v>
      </c>
      <c r="H426" s="468">
        <v>0.5</v>
      </c>
      <c r="I426" s="450">
        <v>0.34</v>
      </c>
      <c r="J426" s="450" t="s">
        <v>322</v>
      </c>
      <c r="K426" s="469">
        <v>24</v>
      </c>
      <c r="L426" s="470">
        <v>1</v>
      </c>
      <c r="M426" s="509"/>
    </row>
    <row r="427" spans="1:13" ht="12.75">
      <c r="A427" s="466" t="s">
        <v>318</v>
      </c>
      <c r="B427" s="450" t="s">
        <v>335</v>
      </c>
      <c r="C427" s="458" t="s">
        <v>57</v>
      </c>
      <c r="D427" s="449">
        <v>37537</v>
      </c>
      <c r="E427" s="450" t="s">
        <v>245</v>
      </c>
      <c r="F427" s="467">
        <v>0.34</v>
      </c>
      <c r="G427" s="467" t="s">
        <v>321</v>
      </c>
      <c r="H427" s="468">
        <v>0.5</v>
      </c>
      <c r="I427" s="450">
        <v>0.34</v>
      </c>
      <c r="J427" s="450" t="s">
        <v>322</v>
      </c>
      <c r="K427" s="469">
        <v>24</v>
      </c>
      <c r="L427" s="470">
        <v>1</v>
      </c>
      <c r="M427" s="509"/>
    </row>
    <row r="428" spans="1:13" ht="12.75">
      <c r="A428" s="466" t="s">
        <v>318</v>
      </c>
      <c r="B428" s="450" t="s">
        <v>335</v>
      </c>
      <c r="C428" s="458" t="s">
        <v>57</v>
      </c>
      <c r="D428" s="449">
        <v>37743</v>
      </c>
      <c r="E428" s="450" t="s">
        <v>245</v>
      </c>
      <c r="F428" s="467">
        <v>0.34</v>
      </c>
      <c r="G428" s="467" t="s">
        <v>321</v>
      </c>
      <c r="H428" s="468">
        <v>0.5</v>
      </c>
      <c r="I428" s="450">
        <v>0.34</v>
      </c>
      <c r="J428" s="450" t="s">
        <v>322</v>
      </c>
      <c r="K428" s="469">
        <v>24</v>
      </c>
      <c r="L428" s="470">
        <v>1</v>
      </c>
      <c r="M428" s="509"/>
    </row>
    <row r="429" spans="1:13" ht="12.75">
      <c r="A429" s="466" t="s">
        <v>318</v>
      </c>
      <c r="B429" s="450" t="s">
        <v>335</v>
      </c>
      <c r="C429" s="458" t="s">
        <v>57</v>
      </c>
      <c r="D429" s="449">
        <v>37897</v>
      </c>
      <c r="E429" s="450" t="s">
        <v>245</v>
      </c>
      <c r="F429" s="467">
        <v>0.34</v>
      </c>
      <c r="G429" s="467" t="s">
        <v>321</v>
      </c>
      <c r="H429" s="468">
        <v>0.5</v>
      </c>
      <c r="I429" s="450">
        <v>0.34</v>
      </c>
      <c r="J429" s="450" t="s">
        <v>322</v>
      </c>
      <c r="K429" s="469">
        <v>24</v>
      </c>
      <c r="L429" s="470">
        <v>1</v>
      </c>
      <c r="M429" s="509"/>
    </row>
    <row r="430" spans="1:13" ht="12.75">
      <c r="A430" s="466" t="s">
        <v>318</v>
      </c>
      <c r="B430" s="450" t="s">
        <v>335</v>
      </c>
      <c r="C430" s="458" t="s">
        <v>57</v>
      </c>
      <c r="D430" s="449">
        <v>38127</v>
      </c>
      <c r="E430" s="450" t="s">
        <v>245</v>
      </c>
      <c r="F430" s="467">
        <v>0.34</v>
      </c>
      <c r="G430" s="467" t="s">
        <v>321</v>
      </c>
      <c r="H430" s="468">
        <v>5</v>
      </c>
      <c r="I430" s="450">
        <v>0.34</v>
      </c>
      <c r="J430" s="450" t="s">
        <v>322</v>
      </c>
      <c r="K430" s="469">
        <v>24</v>
      </c>
      <c r="L430" s="470">
        <v>10</v>
      </c>
      <c r="M430" s="509"/>
    </row>
    <row r="431" spans="1:13" ht="12.75">
      <c r="A431" s="466" t="s">
        <v>318</v>
      </c>
      <c r="B431" s="450" t="s">
        <v>335</v>
      </c>
      <c r="C431" s="458" t="s">
        <v>57</v>
      </c>
      <c r="D431" s="449">
        <v>38273</v>
      </c>
      <c r="E431" s="450" t="s">
        <v>245</v>
      </c>
      <c r="F431" s="467">
        <v>0.07</v>
      </c>
      <c r="G431" s="467" t="s">
        <v>321</v>
      </c>
      <c r="H431" s="468">
        <v>0.5</v>
      </c>
      <c r="I431" s="450">
        <v>0.07</v>
      </c>
      <c r="J431" s="450" t="s">
        <v>322</v>
      </c>
      <c r="K431" s="469">
        <v>24</v>
      </c>
      <c r="L431" s="470">
        <v>1</v>
      </c>
      <c r="M431" s="509"/>
    </row>
    <row r="432" spans="1:13" ht="12.75">
      <c r="A432" s="466" t="s">
        <v>318</v>
      </c>
      <c r="B432" s="450" t="s">
        <v>335</v>
      </c>
      <c r="C432" s="458" t="s">
        <v>57</v>
      </c>
      <c r="D432" s="449">
        <v>38477</v>
      </c>
      <c r="E432" s="450" t="s">
        <v>245</v>
      </c>
      <c r="F432" s="467">
        <v>0.07</v>
      </c>
      <c r="G432" s="467" t="s">
        <v>321</v>
      </c>
      <c r="H432" s="468">
        <v>0.5</v>
      </c>
      <c r="I432" s="450">
        <v>0.07</v>
      </c>
      <c r="J432" s="450" t="s">
        <v>322</v>
      </c>
      <c r="K432" s="469">
        <v>24</v>
      </c>
      <c r="L432" s="470">
        <v>1</v>
      </c>
      <c r="M432" s="509"/>
    </row>
    <row r="433" spans="1:13" ht="12.75">
      <c r="A433" s="466" t="s">
        <v>318</v>
      </c>
      <c r="B433" s="450" t="s">
        <v>335</v>
      </c>
      <c r="C433" s="458" t="s">
        <v>340</v>
      </c>
      <c r="D433" s="449">
        <v>37173</v>
      </c>
      <c r="E433" s="450" t="s">
        <v>245</v>
      </c>
      <c r="F433" s="467">
        <v>0.31</v>
      </c>
      <c r="G433" s="467" t="s">
        <v>321</v>
      </c>
      <c r="H433" s="468">
        <v>1</v>
      </c>
      <c r="I433" s="450">
        <v>0.31</v>
      </c>
      <c r="J433" s="450" t="s">
        <v>322</v>
      </c>
      <c r="K433" s="469">
        <v>25</v>
      </c>
      <c r="L433" s="470">
        <v>1</v>
      </c>
      <c r="M433" s="509"/>
    </row>
    <row r="434" spans="1:13" ht="12.75">
      <c r="A434" s="466" t="s">
        <v>318</v>
      </c>
      <c r="B434" s="450" t="s">
        <v>335</v>
      </c>
      <c r="C434" s="458" t="s">
        <v>340</v>
      </c>
      <c r="D434" s="449">
        <v>37386</v>
      </c>
      <c r="E434" s="450" t="s">
        <v>245</v>
      </c>
      <c r="F434" s="467">
        <v>0.31</v>
      </c>
      <c r="G434" s="467" t="s">
        <v>321</v>
      </c>
      <c r="H434" s="468">
        <v>1</v>
      </c>
      <c r="I434" s="450">
        <v>0.31</v>
      </c>
      <c r="J434" s="450" t="s">
        <v>322</v>
      </c>
      <c r="K434" s="469">
        <v>25</v>
      </c>
      <c r="L434" s="470">
        <v>1</v>
      </c>
      <c r="M434" s="509"/>
    </row>
    <row r="435" spans="1:13" ht="12.75">
      <c r="A435" s="466" t="s">
        <v>318</v>
      </c>
      <c r="B435" s="450" t="s">
        <v>335</v>
      </c>
      <c r="C435" s="458" t="s">
        <v>340</v>
      </c>
      <c r="D435" s="449">
        <v>37537</v>
      </c>
      <c r="E435" s="450" t="s">
        <v>245</v>
      </c>
      <c r="F435" s="467">
        <v>0.32</v>
      </c>
      <c r="G435" s="467" t="s">
        <v>321</v>
      </c>
      <c r="H435" s="468">
        <v>1</v>
      </c>
      <c r="I435" s="450">
        <v>0.32</v>
      </c>
      <c r="J435" s="450" t="s">
        <v>322</v>
      </c>
      <c r="K435" s="469">
        <v>25</v>
      </c>
      <c r="L435" s="470">
        <v>1</v>
      </c>
      <c r="M435" s="509"/>
    </row>
    <row r="436" spans="1:13" ht="12.75">
      <c r="A436" s="466" t="s">
        <v>318</v>
      </c>
      <c r="B436" s="450" t="s">
        <v>335</v>
      </c>
      <c r="C436" s="458" t="s">
        <v>340</v>
      </c>
      <c r="D436" s="449">
        <v>37743</v>
      </c>
      <c r="E436" s="450" t="s">
        <v>245</v>
      </c>
      <c r="F436" s="467">
        <v>0.32</v>
      </c>
      <c r="G436" s="467" t="s">
        <v>321</v>
      </c>
      <c r="H436" s="468">
        <v>1</v>
      </c>
      <c r="I436" s="450">
        <v>0.32</v>
      </c>
      <c r="J436" s="450" t="s">
        <v>322</v>
      </c>
      <c r="K436" s="469">
        <v>25</v>
      </c>
      <c r="L436" s="470">
        <v>1</v>
      </c>
      <c r="M436" s="509"/>
    </row>
    <row r="437" spans="1:13" ht="12.75">
      <c r="A437" s="466" t="s">
        <v>318</v>
      </c>
      <c r="B437" s="450" t="s">
        <v>335</v>
      </c>
      <c r="C437" s="458" t="s">
        <v>340</v>
      </c>
      <c r="D437" s="449">
        <v>37897</v>
      </c>
      <c r="E437" s="450" t="s">
        <v>245</v>
      </c>
      <c r="F437" s="467">
        <v>0.32</v>
      </c>
      <c r="G437" s="467" t="s">
        <v>321</v>
      </c>
      <c r="H437" s="468">
        <v>1</v>
      </c>
      <c r="I437" s="450">
        <v>0.32</v>
      </c>
      <c r="J437" s="450" t="s">
        <v>322</v>
      </c>
      <c r="K437" s="469">
        <v>25</v>
      </c>
      <c r="L437" s="470">
        <v>1</v>
      </c>
      <c r="M437" s="509"/>
    </row>
    <row r="438" spans="1:13" ht="12.75">
      <c r="A438" s="466" t="s">
        <v>318</v>
      </c>
      <c r="B438" s="450" t="s">
        <v>335</v>
      </c>
      <c r="C438" s="458" t="s">
        <v>340</v>
      </c>
      <c r="D438" s="449">
        <v>38127</v>
      </c>
      <c r="E438" s="450" t="s">
        <v>245</v>
      </c>
      <c r="F438" s="467">
        <v>0.32</v>
      </c>
      <c r="G438" s="467" t="s">
        <v>321</v>
      </c>
      <c r="H438" s="468">
        <v>10</v>
      </c>
      <c r="I438" s="450">
        <v>0.32</v>
      </c>
      <c r="J438" s="450" t="s">
        <v>322</v>
      </c>
      <c r="K438" s="469">
        <v>25</v>
      </c>
      <c r="L438" s="470">
        <v>10</v>
      </c>
      <c r="M438" s="509"/>
    </row>
    <row r="439" spans="1:13" ht="12.75">
      <c r="A439" s="466" t="s">
        <v>318</v>
      </c>
      <c r="B439" s="450" t="s">
        <v>335</v>
      </c>
      <c r="C439" s="458" t="s">
        <v>340</v>
      </c>
      <c r="D439" s="449">
        <v>38273</v>
      </c>
      <c r="E439" s="450" t="s">
        <v>245</v>
      </c>
      <c r="F439" s="467">
        <v>0.1</v>
      </c>
      <c r="G439" s="467" t="s">
        <v>321</v>
      </c>
      <c r="H439" s="468">
        <v>1</v>
      </c>
      <c r="I439" s="450">
        <v>0.1</v>
      </c>
      <c r="J439" s="450" t="s">
        <v>322</v>
      </c>
      <c r="K439" s="469">
        <v>25</v>
      </c>
      <c r="L439" s="470">
        <v>1</v>
      </c>
      <c r="M439" s="509"/>
    </row>
    <row r="440" spans="1:13" ht="12.75">
      <c r="A440" s="466" t="s">
        <v>318</v>
      </c>
      <c r="B440" s="450" t="s">
        <v>335</v>
      </c>
      <c r="C440" s="458" t="s">
        <v>340</v>
      </c>
      <c r="D440" s="449">
        <v>38477</v>
      </c>
      <c r="E440" s="450" t="s">
        <v>245</v>
      </c>
      <c r="F440" s="467">
        <v>0.1</v>
      </c>
      <c r="G440" s="467" t="s">
        <v>321</v>
      </c>
      <c r="H440" s="468">
        <v>1</v>
      </c>
      <c r="I440" s="450">
        <v>0.1</v>
      </c>
      <c r="J440" s="450" t="s">
        <v>322</v>
      </c>
      <c r="K440" s="469">
        <v>25</v>
      </c>
      <c r="L440" s="470">
        <v>1</v>
      </c>
      <c r="M440" s="509"/>
    </row>
    <row r="441" spans="1:13" ht="12.75">
      <c r="A441" s="466" t="s">
        <v>318</v>
      </c>
      <c r="B441" s="450" t="s">
        <v>335</v>
      </c>
      <c r="C441" s="458" t="s">
        <v>58</v>
      </c>
      <c r="D441" s="449">
        <v>37173</v>
      </c>
      <c r="E441" s="450" t="s">
        <v>322</v>
      </c>
      <c r="F441" s="467">
        <v>1.9</v>
      </c>
      <c r="G441" s="467" t="s">
        <v>321</v>
      </c>
      <c r="H441" s="468">
        <v>0.5</v>
      </c>
      <c r="I441" s="450">
        <v>0.24</v>
      </c>
      <c r="J441" s="450" t="s">
        <v>322</v>
      </c>
      <c r="K441" s="469">
        <v>26</v>
      </c>
      <c r="L441" s="470">
        <v>1</v>
      </c>
      <c r="M441" s="509"/>
    </row>
    <row r="442" spans="1:13" ht="12.75">
      <c r="A442" s="466" t="s">
        <v>318</v>
      </c>
      <c r="B442" s="450" t="s">
        <v>335</v>
      </c>
      <c r="C442" s="458" t="s">
        <v>58</v>
      </c>
      <c r="D442" s="449">
        <v>37386</v>
      </c>
      <c r="E442" s="450" t="s">
        <v>322</v>
      </c>
      <c r="F442" s="467">
        <v>3.5</v>
      </c>
      <c r="G442" s="467" t="s">
        <v>321</v>
      </c>
      <c r="H442" s="468">
        <v>0.5</v>
      </c>
      <c r="I442" s="450">
        <v>0.24</v>
      </c>
      <c r="J442" s="450" t="s">
        <v>322</v>
      </c>
      <c r="K442" s="469">
        <v>26</v>
      </c>
      <c r="L442" s="470">
        <v>1</v>
      </c>
      <c r="M442" s="509"/>
    </row>
    <row r="443" spans="1:13" ht="12.75">
      <c r="A443" s="466" t="s">
        <v>318</v>
      </c>
      <c r="B443" s="450" t="s">
        <v>335</v>
      </c>
      <c r="C443" s="458" t="s">
        <v>58</v>
      </c>
      <c r="D443" s="449">
        <v>37537</v>
      </c>
      <c r="E443" s="450" t="s">
        <v>322</v>
      </c>
      <c r="F443" s="467">
        <v>3.2</v>
      </c>
      <c r="G443" s="467" t="s">
        <v>321</v>
      </c>
      <c r="H443" s="468">
        <v>0.5</v>
      </c>
      <c r="I443" s="450">
        <v>0.31</v>
      </c>
      <c r="J443" s="450" t="s">
        <v>322</v>
      </c>
      <c r="K443" s="469">
        <v>26</v>
      </c>
      <c r="L443" s="470">
        <v>1</v>
      </c>
      <c r="M443" s="509"/>
    </row>
    <row r="444" spans="1:13" ht="12.75">
      <c r="A444" s="466" t="s">
        <v>318</v>
      </c>
      <c r="B444" s="450" t="s">
        <v>335</v>
      </c>
      <c r="C444" s="458" t="s">
        <v>58</v>
      </c>
      <c r="D444" s="449">
        <v>37743</v>
      </c>
      <c r="E444" s="450" t="s">
        <v>322</v>
      </c>
      <c r="F444" s="467">
        <v>1.9</v>
      </c>
      <c r="G444" s="467" t="s">
        <v>321</v>
      </c>
      <c r="H444" s="468">
        <v>0.5</v>
      </c>
      <c r="I444" s="450">
        <v>0.31</v>
      </c>
      <c r="J444" s="450" t="s">
        <v>322</v>
      </c>
      <c r="K444" s="469">
        <v>26</v>
      </c>
      <c r="L444" s="470">
        <v>1</v>
      </c>
      <c r="M444" s="509"/>
    </row>
    <row r="445" spans="1:13" ht="12.75">
      <c r="A445" s="466" t="s">
        <v>318</v>
      </c>
      <c r="B445" s="450" t="s">
        <v>335</v>
      </c>
      <c r="C445" s="458" t="s">
        <v>58</v>
      </c>
      <c r="D445" s="449">
        <v>37897</v>
      </c>
      <c r="E445" s="450" t="s">
        <v>322</v>
      </c>
      <c r="F445" s="467">
        <v>1.2</v>
      </c>
      <c r="G445" s="467" t="s">
        <v>321</v>
      </c>
      <c r="H445" s="468">
        <v>0.5</v>
      </c>
      <c r="I445" s="450">
        <v>0.31</v>
      </c>
      <c r="J445" s="450" t="s">
        <v>322</v>
      </c>
      <c r="K445" s="469">
        <v>26</v>
      </c>
      <c r="L445" s="470">
        <v>1</v>
      </c>
      <c r="M445" s="509"/>
    </row>
    <row r="446" spans="1:13" ht="12.75">
      <c r="A446" s="466" t="s">
        <v>318</v>
      </c>
      <c r="B446" s="450" t="s">
        <v>335</v>
      </c>
      <c r="C446" s="458" t="s">
        <v>58</v>
      </c>
      <c r="D446" s="449">
        <v>38127</v>
      </c>
      <c r="E446" s="450" t="s">
        <v>245</v>
      </c>
      <c r="F446" s="467">
        <v>0.31</v>
      </c>
      <c r="G446" s="467" t="s">
        <v>321</v>
      </c>
      <c r="H446" s="468">
        <v>5</v>
      </c>
      <c r="I446" s="450">
        <v>0.31</v>
      </c>
      <c r="J446" s="450" t="s">
        <v>322</v>
      </c>
      <c r="K446" s="469">
        <v>26</v>
      </c>
      <c r="L446" s="470">
        <v>10</v>
      </c>
      <c r="M446" s="509"/>
    </row>
    <row r="447" spans="1:13" ht="12.75">
      <c r="A447" s="466" t="s">
        <v>318</v>
      </c>
      <c r="B447" s="450" t="s">
        <v>335</v>
      </c>
      <c r="C447" s="458" t="s">
        <v>58</v>
      </c>
      <c r="D447" s="449">
        <v>38273</v>
      </c>
      <c r="E447" s="450" t="s">
        <v>322</v>
      </c>
      <c r="F447" s="467">
        <v>29</v>
      </c>
      <c r="G447" s="467" t="s">
        <v>321</v>
      </c>
      <c r="H447" s="468">
        <v>0.5</v>
      </c>
      <c r="I447" s="450">
        <v>0.05</v>
      </c>
      <c r="J447" s="450" t="s">
        <v>322</v>
      </c>
      <c r="K447" s="469">
        <v>26</v>
      </c>
      <c r="L447" s="470">
        <v>1</v>
      </c>
      <c r="M447" s="509"/>
    </row>
    <row r="448" spans="1:13" ht="12.75">
      <c r="A448" s="466" t="s">
        <v>318</v>
      </c>
      <c r="B448" s="450" t="s">
        <v>335</v>
      </c>
      <c r="C448" s="458" t="s">
        <v>58</v>
      </c>
      <c r="D448" s="449">
        <v>38477</v>
      </c>
      <c r="E448" s="450" t="s">
        <v>322</v>
      </c>
      <c r="F448" s="467">
        <v>29</v>
      </c>
      <c r="G448" s="467" t="s">
        <v>321</v>
      </c>
      <c r="H448" s="468">
        <v>0.5</v>
      </c>
      <c r="I448" s="450">
        <v>0.05</v>
      </c>
      <c r="J448" s="450" t="s">
        <v>322</v>
      </c>
      <c r="K448" s="469">
        <v>26</v>
      </c>
      <c r="L448" s="470">
        <v>1</v>
      </c>
      <c r="M448" s="509"/>
    </row>
    <row r="449" spans="1:13" ht="12.75">
      <c r="A449" s="466" t="s">
        <v>318</v>
      </c>
      <c r="B449" s="450" t="s">
        <v>335</v>
      </c>
      <c r="C449" s="458" t="s">
        <v>341</v>
      </c>
      <c r="D449" s="449">
        <v>37173</v>
      </c>
      <c r="E449" s="450" t="s">
        <v>245</v>
      </c>
      <c r="F449" s="467">
        <v>0.46</v>
      </c>
      <c r="G449" s="467" t="s">
        <v>321</v>
      </c>
      <c r="H449" s="468">
        <v>0.5</v>
      </c>
      <c r="I449" s="450">
        <v>0.46</v>
      </c>
      <c r="J449" s="450" t="s">
        <v>322</v>
      </c>
      <c r="K449" s="469">
        <v>27</v>
      </c>
      <c r="L449" s="470">
        <v>1</v>
      </c>
      <c r="M449" s="509"/>
    </row>
    <row r="450" spans="1:13" ht="12.75">
      <c r="A450" s="466" t="s">
        <v>318</v>
      </c>
      <c r="B450" s="450" t="s">
        <v>335</v>
      </c>
      <c r="C450" s="458" t="s">
        <v>341</v>
      </c>
      <c r="D450" s="449">
        <v>37386</v>
      </c>
      <c r="E450" s="450" t="s">
        <v>322</v>
      </c>
      <c r="F450" s="467">
        <v>0.6</v>
      </c>
      <c r="G450" s="467" t="s">
        <v>321</v>
      </c>
      <c r="H450" s="468">
        <v>0.5</v>
      </c>
      <c r="I450" s="450">
        <v>0.46</v>
      </c>
      <c r="J450" s="450" t="s">
        <v>322</v>
      </c>
      <c r="K450" s="469">
        <v>27</v>
      </c>
      <c r="L450" s="470">
        <v>1</v>
      </c>
      <c r="M450" s="509"/>
    </row>
    <row r="451" spans="1:13" ht="12.75">
      <c r="A451" s="466" t="s">
        <v>318</v>
      </c>
      <c r="B451" s="450" t="s">
        <v>335</v>
      </c>
      <c r="C451" s="458" t="s">
        <v>341</v>
      </c>
      <c r="D451" s="449">
        <v>37537</v>
      </c>
      <c r="E451" s="450" t="s">
        <v>322</v>
      </c>
      <c r="F451" s="467">
        <v>1.4</v>
      </c>
      <c r="G451" s="467" t="s">
        <v>321</v>
      </c>
      <c r="H451" s="468">
        <v>0.5</v>
      </c>
      <c r="I451" s="450">
        <v>0.2</v>
      </c>
      <c r="J451" s="450" t="s">
        <v>322</v>
      </c>
      <c r="K451" s="469">
        <v>27</v>
      </c>
      <c r="L451" s="470">
        <v>1</v>
      </c>
      <c r="M451" s="509"/>
    </row>
    <row r="452" spans="1:13" ht="12.75">
      <c r="A452" s="466" t="s">
        <v>318</v>
      </c>
      <c r="B452" s="450" t="s">
        <v>335</v>
      </c>
      <c r="C452" s="458" t="s">
        <v>341</v>
      </c>
      <c r="D452" s="449">
        <v>37743</v>
      </c>
      <c r="E452" s="450" t="s">
        <v>322</v>
      </c>
      <c r="F452" s="467">
        <v>0.6</v>
      </c>
      <c r="G452" s="467" t="s">
        <v>321</v>
      </c>
      <c r="H452" s="468">
        <v>0.5</v>
      </c>
      <c r="I452" s="450">
        <v>0.2</v>
      </c>
      <c r="J452" s="450" t="s">
        <v>322</v>
      </c>
      <c r="K452" s="469">
        <v>27</v>
      </c>
      <c r="L452" s="470">
        <v>1</v>
      </c>
      <c r="M452" s="509"/>
    </row>
    <row r="453" spans="1:13" ht="12.75">
      <c r="A453" s="466" t="s">
        <v>318</v>
      </c>
      <c r="B453" s="450" t="s">
        <v>335</v>
      </c>
      <c r="C453" s="458" t="s">
        <v>341</v>
      </c>
      <c r="D453" s="449">
        <v>37897</v>
      </c>
      <c r="E453" s="450" t="s">
        <v>245</v>
      </c>
      <c r="F453" s="467">
        <v>0.2</v>
      </c>
      <c r="G453" s="467" t="s">
        <v>321</v>
      </c>
      <c r="H453" s="468">
        <v>0.5</v>
      </c>
      <c r="I453" s="450">
        <v>0.2</v>
      </c>
      <c r="J453" s="450" t="s">
        <v>322</v>
      </c>
      <c r="K453" s="469">
        <v>27</v>
      </c>
      <c r="L453" s="470">
        <v>1</v>
      </c>
      <c r="M453" s="509"/>
    </row>
    <row r="454" spans="1:13" ht="12.75">
      <c r="A454" s="466" t="s">
        <v>318</v>
      </c>
      <c r="B454" s="450" t="s">
        <v>335</v>
      </c>
      <c r="C454" s="458" t="s">
        <v>341</v>
      </c>
      <c r="D454" s="449">
        <v>38127</v>
      </c>
      <c r="E454" s="450" t="s">
        <v>245</v>
      </c>
      <c r="F454" s="467">
        <v>0.2</v>
      </c>
      <c r="G454" s="467" t="s">
        <v>321</v>
      </c>
      <c r="H454" s="468">
        <v>5</v>
      </c>
      <c r="I454" s="450">
        <v>0.2</v>
      </c>
      <c r="J454" s="450" t="s">
        <v>322</v>
      </c>
      <c r="K454" s="469">
        <v>27</v>
      </c>
      <c r="L454" s="470">
        <v>10</v>
      </c>
      <c r="M454" s="509"/>
    </row>
    <row r="455" spans="1:13" ht="12.75">
      <c r="A455" s="466" t="s">
        <v>318</v>
      </c>
      <c r="B455" s="450" t="s">
        <v>335</v>
      </c>
      <c r="C455" s="458" t="s">
        <v>341</v>
      </c>
      <c r="D455" s="449">
        <v>38273</v>
      </c>
      <c r="E455" s="450" t="s">
        <v>322</v>
      </c>
      <c r="F455" s="467">
        <v>15</v>
      </c>
      <c r="G455" s="467" t="s">
        <v>321</v>
      </c>
      <c r="H455" s="468">
        <v>0.5</v>
      </c>
      <c r="I455" s="450">
        <v>0.06</v>
      </c>
      <c r="J455" s="450" t="s">
        <v>322</v>
      </c>
      <c r="K455" s="469">
        <v>27</v>
      </c>
      <c r="L455" s="470">
        <v>1</v>
      </c>
      <c r="M455" s="509"/>
    </row>
    <row r="456" spans="1:13" ht="12.75">
      <c r="A456" s="466" t="s">
        <v>318</v>
      </c>
      <c r="B456" s="450" t="s">
        <v>335</v>
      </c>
      <c r="C456" s="458" t="s">
        <v>341</v>
      </c>
      <c r="D456" s="449">
        <v>38477</v>
      </c>
      <c r="E456" s="450" t="s">
        <v>322</v>
      </c>
      <c r="F456" s="467">
        <v>20</v>
      </c>
      <c r="G456" s="467" t="s">
        <v>321</v>
      </c>
      <c r="H456" s="468">
        <v>0.5</v>
      </c>
      <c r="I456" s="450">
        <v>0.06</v>
      </c>
      <c r="J456" s="450" t="s">
        <v>322</v>
      </c>
      <c r="K456" s="469">
        <v>27</v>
      </c>
      <c r="L456" s="470">
        <v>1</v>
      </c>
      <c r="M456" s="509"/>
    </row>
    <row r="457" spans="1:13" ht="12.75">
      <c r="A457" s="466" t="s">
        <v>318</v>
      </c>
      <c r="B457" s="450" t="s">
        <v>335</v>
      </c>
      <c r="C457" s="458" t="s">
        <v>342</v>
      </c>
      <c r="D457" s="449">
        <v>37173</v>
      </c>
      <c r="E457" s="450" t="s">
        <v>245</v>
      </c>
      <c r="F457" s="467">
        <v>0.28</v>
      </c>
      <c r="G457" s="467" t="s">
        <v>321</v>
      </c>
      <c r="H457" s="468">
        <v>0.5</v>
      </c>
      <c r="I457" s="450">
        <v>0.28</v>
      </c>
      <c r="J457" s="450" t="s">
        <v>322</v>
      </c>
      <c r="K457" s="469">
        <v>28</v>
      </c>
      <c r="L457" s="470">
        <v>1</v>
      </c>
      <c r="M457" s="509"/>
    </row>
    <row r="458" spans="1:13" ht="12.75">
      <c r="A458" s="466" t="s">
        <v>318</v>
      </c>
      <c r="B458" s="450" t="s">
        <v>335</v>
      </c>
      <c r="C458" s="458" t="s">
        <v>342</v>
      </c>
      <c r="D458" s="449">
        <v>37386</v>
      </c>
      <c r="E458" s="450" t="s">
        <v>245</v>
      </c>
      <c r="F458" s="467">
        <v>0.28</v>
      </c>
      <c r="G458" s="467" t="s">
        <v>321</v>
      </c>
      <c r="H458" s="468">
        <v>0.5</v>
      </c>
      <c r="I458" s="450">
        <v>0.28</v>
      </c>
      <c r="J458" s="450" t="s">
        <v>322</v>
      </c>
      <c r="K458" s="469">
        <v>28</v>
      </c>
      <c r="L458" s="470">
        <v>1</v>
      </c>
      <c r="M458" s="509"/>
    </row>
    <row r="459" spans="1:13" ht="12.75">
      <c r="A459" s="466" t="s">
        <v>318</v>
      </c>
      <c r="B459" s="450" t="s">
        <v>335</v>
      </c>
      <c r="C459" s="458" t="s">
        <v>342</v>
      </c>
      <c r="D459" s="449">
        <v>37537</v>
      </c>
      <c r="E459" s="450" t="s">
        <v>245</v>
      </c>
      <c r="F459" s="467">
        <v>0.34</v>
      </c>
      <c r="G459" s="467" t="s">
        <v>321</v>
      </c>
      <c r="H459" s="468">
        <v>0.5</v>
      </c>
      <c r="I459" s="450">
        <v>0.34</v>
      </c>
      <c r="J459" s="450" t="s">
        <v>322</v>
      </c>
      <c r="K459" s="469">
        <v>28</v>
      </c>
      <c r="L459" s="470">
        <v>1</v>
      </c>
      <c r="M459" s="509"/>
    </row>
    <row r="460" spans="1:13" ht="12.75">
      <c r="A460" s="466" t="s">
        <v>318</v>
      </c>
      <c r="B460" s="450" t="s">
        <v>335</v>
      </c>
      <c r="C460" s="458" t="s">
        <v>342</v>
      </c>
      <c r="D460" s="449">
        <v>37743</v>
      </c>
      <c r="E460" s="450" t="s">
        <v>245</v>
      </c>
      <c r="F460" s="467">
        <v>0.34</v>
      </c>
      <c r="G460" s="467" t="s">
        <v>321</v>
      </c>
      <c r="H460" s="468">
        <v>0.5</v>
      </c>
      <c r="I460" s="450">
        <v>0.34</v>
      </c>
      <c r="J460" s="450" t="s">
        <v>322</v>
      </c>
      <c r="K460" s="469">
        <v>28</v>
      </c>
      <c r="L460" s="470">
        <v>1</v>
      </c>
      <c r="M460" s="509"/>
    </row>
    <row r="461" spans="1:13" ht="12.75">
      <c r="A461" s="466" t="s">
        <v>318</v>
      </c>
      <c r="B461" s="450" t="s">
        <v>335</v>
      </c>
      <c r="C461" s="458" t="s">
        <v>342</v>
      </c>
      <c r="D461" s="449">
        <v>37897</v>
      </c>
      <c r="E461" s="450" t="s">
        <v>245</v>
      </c>
      <c r="F461" s="467">
        <v>0.34</v>
      </c>
      <c r="G461" s="467" t="s">
        <v>321</v>
      </c>
      <c r="H461" s="468">
        <v>0.5</v>
      </c>
      <c r="I461" s="450">
        <v>0.34</v>
      </c>
      <c r="J461" s="450" t="s">
        <v>322</v>
      </c>
      <c r="K461" s="469">
        <v>28</v>
      </c>
      <c r="L461" s="470">
        <v>1</v>
      </c>
      <c r="M461" s="509"/>
    </row>
    <row r="462" spans="1:13" ht="12.75">
      <c r="A462" s="466" t="s">
        <v>318</v>
      </c>
      <c r="B462" s="450" t="s">
        <v>335</v>
      </c>
      <c r="C462" s="458" t="s">
        <v>342</v>
      </c>
      <c r="D462" s="449">
        <v>38127</v>
      </c>
      <c r="E462" s="450" t="s">
        <v>245</v>
      </c>
      <c r="F462" s="467">
        <v>0.34</v>
      </c>
      <c r="G462" s="467" t="s">
        <v>321</v>
      </c>
      <c r="H462" s="468">
        <v>5</v>
      </c>
      <c r="I462" s="450">
        <v>0.34</v>
      </c>
      <c r="J462" s="450" t="s">
        <v>322</v>
      </c>
      <c r="K462" s="469">
        <v>28</v>
      </c>
      <c r="L462" s="470">
        <v>10</v>
      </c>
      <c r="M462" s="509"/>
    </row>
    <row r="463" spans="1:13" ht="12.75">
      <c r="A463" s="466" t="s">
        <v>318</v>
      </c>
      <c r="B463" s="450" t="s">
        <v>335</v>
      </c>
      <c r="C463" s="458" t="s">
        <v>342</v>
      </c>
      <c r="D463" s="449">
        <v>38273</v>
      </c>
      <c r="E463" s="450" t="s">
        <v>245</v>
      </c>
      <c r="F463" s="467">
        <v>0.05</v>
      </c>
      <c r="G463" s="467" t="s">
        <v>321</v>
      </c>
      <c r="H463" s="468">
        <v>0.5</v>
      </c>
      <c r="I463" s="450">
        <v>0.05</v>
      </c>
      <c r="J463" s="450" t="s">
        <v>322</v>
      </c>
      <c r="K463" s="469">
        <v>28</v>
      </c>
      <c r="L463" s="470">
        <v>1</v>
      </c>
      <c r="M463" s="509"/>
    </row>
    <row r="464" spans="1:13" ht="12.75">
      <c r="A464" s="466" t="s">
        <v>318</v>
      </c>
      <c r="B464" s="450" t="s">
        <v>335</v>
      </c>
      <c r="C464" s="458" t="s">
        <v>342</v>
      </c>
      <c r="D464" s="449">
        <v>38477</v>
      </c>
      <c r="E464" s="450" t="s">
        <v>245</v>
      </c>
      <c r="F464" s="467">
        <v>0.05</v>
      </c>
      <c r="G464" s="467" t="s">
        <v>321</v>
      </c>
      <c r="H464" s="468">
        <v>0.5</v>
      </c>
      <c r="I464" s="450">
        <v>0.05</v>
      </c>
      <c r="J464" s="450" t="s">
        <v>322</v>
      </c>
      <c r="K464" s="469">
        <v>28</v>
      </c>
      <c r="L464" s="470">
        <v>1</v>
      </c>
      <c r="M464" s="509"/>
    </row>
    <row r="465" spans="1:13" ht="12.75">
      <c r="A465" s="466" t="s">
        <v>318</v>
      </c>
      <c r="B465" s="450" t="s">
        <v>335</v>
      </c>
      <c r="C465" s="458" t="s">
        <v>343</v>
      </c>
      <c r="D465" s="449">
        <v>37173</v>
      </c>
      <c r="E465" s="450" t="s">
        <v>245</v>
      </c>
      <c r="F465" s="467">
        <v>0.18</v>
      </c>
      <c r="G465" s="467" t="s">
        <v>321</v>
      </c>
      <c r="H465" s="468">
        <v>0.5</v>
      </c>
      <c r="I465" s="450">
        <v>0.18</v>
      </c>
      <c r="J465" s="450" t="s">
        <v>322</v>
      </c>
      <c r="K465" s="469">
        <v>29</v>
      </c>
      <c r="L465" s="470">
        <v>1</v>
      </c>
      <c r="M465" s="509"/>
    </row>
    <row r="466" spans="1:13" ht="12.75">
      <c r="A466" s="466" t="s">
        <v>318</v>
      </c>
      <c r="B466" s="450" t="s">
        <v>335</v>
      </c>
      <c r="C466" s="458" t="s">
        <v>343</v>
      </c>
      <c r="D466" s="449">
        <v>37386</v>
      </c>
      <c r="E466" s="450" t="s">
        <v>245</v>
      </c>
      <c r="F466" s="467">
        <v>0.18</v>
      </c>
      <c r="G466" s="467" t="s">
        <v>321</v>
      </c>
      <c r="H466" s="468">
        <v>0.5</v>
      </c>
      <c r="I466" s="450">
        <v>0.18</v>
      </c>
      <c r="J466" s="450" t="s">
        <v>322</v>
      </c>
      <c r="K466" s="469">
        <v>29</v>
      </c>
      <c r="L466" s="470">
        <v>1</v>
      </c>
      <c r="M466" s="509"/>
    </row>
    <row r="467" spans="1:13" ht="12.75">
      <c r="A467" s="466" t="s">
        <v>318</v>
      </c>
      <c r="B467" s="450" t="s">
        <v>335</v>
      </c>
      <c r="C467" s="458" t="s">
        <v>343</v>
      </c>
      <c r="D467" s="449">
        <v>37537</v>
      </c>
      <c r="E467" s="450" t="s">
        <v>245</v>
      </c>
      <c r="F467" s="467">
        <v>0.2</v>
      </c>
      <c r="G467" s="467" t="s">
        <v>321</v>
      </c>
      <c r="H467" s="468">
        <v>0.5</v>
      </c>
      <c r="I467" s="450">
        <v>0.2</v>
      </c>
      <c r="J467" s="450" t="s">
        <v>322</v>
      </c>
      <c r="K467" s="469">
        <v>29</v>
      </c>
      <c r="L467" s="470">
        <v>1</v>
      </c>
      <c r="M467" s="509"/>
    </row>
    <row r="468" spans="1:13" ht="12.75">
      <c r="A468" s="466" t="s">
        <v>318</v>
      </c>
      <c r="B468" s="450" t="s">
        <v>335</v>
      </c>
      <c r="C468" s="458" t="s">
        <v>343</v>
      </c>
      <c r="D468" s="449">
        <v>37743</v>
      </c>
      <c r="E468" s="450" t="s">
        <v>245</v>
      </c>
      <c r="F468" s="467">
        <v>0.2</v>
      </c>
      <c r="G468" s="467" t="s">
        <v>321</v>
      </c>
      <c r="H468" s="468">
        <v>0.5</v>
      </c>
      <c r="I468" s="450">
        <v>0.2</v>
      </c>
      <c r="J468" s="450" t="s">
        <v>322</v>
      </c>
      <c r="K468" s="469">
        <v>29</v>
      </c>
      <c r="L468" s="470">
        <v>1</v>
      </c>
      <c r="M468" s="509"/>
    </row>
    <row r="469" spans="1:13" ht="12.75">
      <c r="A469" s="466" t="s">
        <v>318</v>
      </c>
      <c r="B469" s="450" t="s">
        <v>335</v>
      </c>
      <c r="C469" s="458" t="s">
        <v>343</v>
      </c>
      <c r="D469" s="449">
        <v>37897</v>
      </c>
      <c r="E469" s="450" t="s">
        <v>245</v>
      </c>
      <c r="F469" s="467">
        <v>0.2</v>
      </c>
      <c r="G469" s="467" t="s">
        <v>321</v>
      </c>
      <c r="H469" s="468">
        <v>0.5</v>
      </c>
      <c r="I469" s="450">
        <v>0.2</v>
      </c>
      <c r="J469" s="450" t="s">
        <v>322</v>
      </c>
      <c r="K469" s="469">
        <v>29</v>
      </c>
      <c r="L469" s="470">
        <v>1</v>
      </c>
      <c r="M469" s="509"/>
    </row>
    <row r="470" spans="1:13" ht="12.75">
      <c r="A470" s="466" t="s">
        <v>318</v>
      </c>
      <c r="B470" s="450" t="s">
        <v>335</v>
      </c>
      <c r="C470" s="458" t="s">
        <v>343</v>
      </c>
      <c r="D470" s="449">
        <v>38127</v>
      </c>
      <c r="E470" s="450" t="s">
        <v>245</v>
      </c>
      <c r="F470" s="467">
        <v>0.2</v>
      </c>
      <c r="G470" s="467" t="s">
        <v>321</v>
      </c>
      <c r="H470" s="468">
        <v>5</v>
      </c>
      <c r="I470" s="450">
        <v>0.2</v>
      </c>
      <c r="J470" s="450" t="s">
        <v>322</v>
      </c>
      <c r="K470" s="469">
        <v>29</v>
      </c>
      <c r="L470" s="470">
        <v>10</v>
      </c>
      <c r="M470" s="509"/>
    </row>
    <row r="471" spans="1:13" ht="12.75">
      <c r="A471" s="466" t="s">
        <v>318</v>
      </c>
      <c r="B471" s="450" t="s">
        <v>335</v>
      </c>
      <c r="C471" s="458" t="s">
        <v>343</v>
      </c>
      <c r="D471" s="449">
        <v>38273</v>
      </c>
      <c r="E471" s="450" t="s">
        <v>245</v>
      </c>
      <c r="F471" s="467">
        <v>0.06</v>
      </c>
      <c r="G471" s="467" t="s">
        <v>321</v>
      </c>
      <c r="H471" s="468">
        <v>0.5</v>
      </c>
      <c r="I471" s="450">
        <v>0.06</v>
      </c>
      <c r="J471" s="450" t="s">
        <v>322</v>
      </c>
      <c r="K471" s="469">
        <v>29</v>
      </c>
      <c r="L471" s="470">
        <v>1</v>
      </c>
      <c r="M471" s="509"/>
    </row>
    <row r="472" spans="1:13" ht="12.75">
      <c r="A472" s="466" t="s">
        <v>318</v>
      </c>
      <c r="B472" s="450" t="s">
        <v>335</v>
      </c>
      <c r="C472" s="458" t="s">
        <v>343</v>
      </c>
      <c r="D472" s="449">
        <v>38477</v>
      </c>
      <c r="E472" s="450" t="s">
        <v>245</v>
      </c>
      <c r="F472" s="467">
        <v>0.06</v>
      </c>
      <c r="G472" s="467" t="s">
        <v>321</v>
      </c>
      <c r="H472" s="468">
        <v>0.5</v>
      </c>
      <c r="I472" s="450">
        <v>0.06</v>
      </c>
      <c r="J472" s="450" t="s">
        <v>322</v>
      </c>
      <c r="K472" s="469">
        <v>29</v>
      </c>
      <c r="L472" s="470">
        <v>1</v>
      </c>
      <c r="M472" s="509"/>
    </row>
    <row r="473" spans="1:13" ht="12.75">
      <c r="A473" s="466" t="s">
        <v>318</v>
      </c>
      <c r="B473" s="450" t="s">
        <v>335</v>
      </c>
      <c r="C473" s="458" t="s">
        <v>344</v>
      </c>
      <c r="D473" s="449">
        <v>37173</v>
      </c>
      <c r="E473" s="450" t="s">
        <v>245</v>
      </c>
      <c r="F473" s="467">
        <v>0.37</v>
      </c>
      <c r="G473" s="467" t="s">
        <v>321</v>
      </c>
      <c r="H473" s="468">
        <v>0.5</v>
      </c>
      <c r="I473" s="450">
        <v>0.37</v>
      </c>
      <c r="J473" s="450" t="s">
        <v>322</v>
      </c>
      <c r="K473" s="469">
        <v>30</v>
      </c>
      <c r="L473" s="470">
        <v>1</v>
      </c>
      <c r="M473" s="509"/>
    </row>
    <row r="474" spans="1:13" ht="12.75">
      <c r="A474" s="466" t="s">
        <v>318</v>
      </c>
      <c r="B474" s="450" t="s">
        <v>335</v>
      </c>
      <c r="C474" s="458" t="s">
        <v>344</v>
      </c>
      <c r="D474" s="449">
        <v>37386</v>
      </c>
      <c r="E474" s="450" t="s">
        <v>245</v>
      </c>
      <c r="F474" s="467">
        <v>0.37</v>
      </c>
      <c r="G474" s="467" t="s">
        <v>321</v>
      </c>
      <c r="H474" s="468">
        <v>0.5</v>
      </c>
      <c r="I474" s="450">
        <v>0.37</v>
      </c>
      <c r="J474" s="450" t="s">
        <v>322</v>
      </c>
      <c r="K474" s="469">
        <v>30</v>
      </c>
      <c r="L474" s="470">
        <v>1</v>
      </c>
      <c r="M474" s="509"/>
    </row>
    <row r="475" spans="1:13" ht="12.75">
      <c r="A475" s="466" t="s">
        <v>318</v>
      </c>
      <c r="B475" s="450" t="s">
        <v>335</v>
      </c>
      <c r="C475" s="458" t="s">
        <v>344</v>
      </c>
      <c r="D475" s="449">
        <v>37537</v>
      </c>
      <c r="E475" s="450" t="s">
        <v>245</v>
      </c>
      <c r="F475" s="467">
        <v>0.49</v>
      </c>
      <c r="G475" s="467" t="s">
        <v>321</v>
      </c>
      <c r="H475" s="468">
        <v>0.5</v>
      </c>
      <c r="I475" s="450">
        <v>0.49</v>
      </c>
      <c r="J475" s="450" t="s">
        <v>322</v>
      </c>
      <c r="K475" s="469">
        <v>30</v>
      </c>
      <c r="L475" s="470">
        <v>1</v>
      </c>
      <c r="M475" s="509"/>
    </row>
    <row r="476" spans="1:13" ht="12.75">
      <c r="A476" s="466" t="s">
        <v>318</v>
      </c>
      <c r="B476" s="450" t="s">
        <v>335</v>
      </c>
      <c r="C476" s="458" t="s">
        <v>344</v>
      </c>
      <c r="D476" s="449">
        <v>37743</v>
      </c>
      <c r="E476" s="450" t="s">
        <v>245</v>
      </c>
      <c r="F476" s="467">
        <v>0.49</v>
      </c>
      <c r="G476" s="467" t="s">
        <v>321</v>
      </c>
      <c r="H476" s="468">
        <v>0.5</v>
      </c>
      <c r="I476" s="450">
        <v>0.49</v>
      </c>
      <c r="J476" s="450" t="s">
        <v>322</v>
      </c>
      <c r="K476" s="469">
        <v>30</v>
      </c>
      <c r="L476" s="470">
        <v>1</v>
      </c>
      <c r="M476" s="509"/>
    </row>
    <row r="477" spans="1:13" ht="12.75">
      <c r="A477" s="466" t="s">
        <v>318</v>
      </c>
      <c r="B477" s="450" t="s">
        <v>335</v>
      </c>
      <c r="C477" s="458" t="s">
        <v>344</v>
      </c>
      <c r="D477" s="449">
        <v>37897</v>
      </c>
      <c r="E477" s="450" t="s">
        <v>245</v>
      </c>
      <c r="F477" s="467">
        <v>0.49</v>
      </c>
      <c r="G477" s="467" t="s">
        <v>321</v>
      </c>
      <c r="H477" s="468">
        <v>0.5</v>
      </c>
      <c r="I477" s="450">
        <v>0.49</v>
      </c>
      <c r="J477" s="450" t="s">
        <v>322</v>
      </c>
      <c r="K477" s="469">
        <v>30</v>
      </c>
      <c r="L477" s="470">
        <v>1</v>
      </c>
      <c r="M477" s="509"/>
    </row>
    <row r="478" spans="1:13" ht="12.75">
      <c r="A478" s="466" t="s">
        <v>318</v>
      </c>
      <c r="B478" s="450" t="s">
        <v>335</v>
      </c>
      <c r="C478" s="458" t="s">
        <v>344</v>
      </c>
      <c r="D478" s="449">
        <v>38127</v>
      </c>
      <c r="E478" s="450" t="s">
        <v>245</v>
      </c>
      <c r="F478" s="467">
        <v>0.49</v>
      </c>
      <c r="G478" s="467" t="s">
        <v>321</v>
      </c>
      <c r="H478" s="468">
        <v>5</v>
      </c>
      <c r="I478" s="450">
        <v>0.49</v>
      </c>
      <c r="J478" s="450" t="s">
        <v>322</v>
      </c>
      <c r="K478" s="469">
        <v>30</v>
      </c>
      <c r="L478" s="470">
        <v>10</v>
      </c>
      <c r="M478" s="509"/>
    </row>
    <row r="479" spans="1:13" ht="12.75">
      <c r="A479" s="466" t="s">
        <v>318</v>
      </c>
      <c r="B479" s="450" t="s">
        <v>335</v>
      </c>
      <c r="C479" s="458" t="s">
        <v>344</v>
      </c>
      <c r="D479" s="449">
        <v>38273</v>
      </c>
      <c r="E479" s="450" t="s">
        <v>245</v>
      </c>
      <c r="F479" s="467">
        <v>0.06</v>
      </c>
      <c r="G479" s="467" t="s">
        <v>321</v>
      </c>
      <c r="H479" s="468">
        <v>0.5</v>
      </c>
      <c r="I479" s="450">
        <v>0.06</v>
      </c>
      <c r="J479" s="450" t="s">
        <v>322</v>
      </c>
      <c r="K479" s="469">
        <v>30</v>
      </c>
      <c r="L479" s="470">
        <v>1</v>
      </c>
      <c r="M479" s="509"/>
    </row>
    <row r="480" spans="1:13" ht="12.75">
      <c r="A480" s="466" t="s">
        <v>318</v>
      </c>
      <c r="B480" s="450" t="s">
        <v>335</v>
      </c>
      <c r="C480" s="458" t="s">
        <v>344</v>
      </c>
      <c r="D480" s="449">
        <v>38477</v>
      </c>
      <c r="E480" s="450" t="s">
        <v>245</v>
      </c>
      <c r="F480" s="467">
        <v>0.06</v>
      </c>
      <c r="G480" s="467" t="s">
        <v>321</v>
      </c>
      <c r="H480" s="468">
        <v>0.5</v>
      </c>
      <c r="I480" s="450">
        <v>0.06</v>
      </c>
      <c r="J480" s="450" t="s">
        <v>322</v>
      </c>
      <c r="K480" s="469">
        <v>30</v>
      </c>
      <c r="L480" s="470">
        <v>1</v>
      </c>
      <c r="M480" s="509"/>
    </row>
    <row r="481" spans="1:13" ht="12.75">
      <c r="A481" s="466" t="s">
        <v>318</v>
      </c>
      <c r="B481" s="450" t="s">
        <v>335</v>
      </c>
      <c r="C481" s="458" t="s">
        <v>345</v>
      </c>
      <c r="D481" s="449">
        <v>37173</v>
      </c>
      <c r="E481" s="450" t="s">
        <v>245</v>
      </c>
      <c r="F481" s="467">
        <v>0.22</v>
      </c>
      <c r="G481" s="467" t="s">
        <v>321</v>
      </c>
      <c r="H481" s="468">
        <v>0.5</v>
      </c>
      <c r="I481" s="450">
        <v>0.22</v>
      </c>
      <c r="J481" s="450" t="s">
        <v>322</v>
      </c>
      <c r="K481" s="469">
        <v>31</v>
      </c>
      <c r="L481" s="470">
        <v>1</v>
      </c>
      <c r="M481" s="509"/>
    </row>
    <row r="482" spans="1:13" ht="12.75">
      <c r="A482" s="466" t="s">
        <v>318</v>
      </c>
      <c r="B482" s="450" t="s">
        <v>335</v>
      </c>
      <c r="C482" s="458" t="s">
        <v>345</v>
      </c>
      <c r="D482" s="449">
        <v>37386</v>
      </c>
      <c r="E482" s="450" t="s">
        <v>245</v>
      </c>
      <c r="F482" s="467">
        <v>0.22</v>
      </c>
      <c r="G482" s="467" t="s">
        <v>321</v>
      </c>
      <c r="H482" s="468">
        <v>0.5</v>
      </c>
      <c r="I482" s="450">
        <v>0.22</v>
      </c>
      <c r="J482" s="450" t="s">
        <v>322</v>
      </c>
      <c r="K482" s="469">
        <v>31</v>
      </c>
      <c r="L482" s="470">
        <v>1</v>
      </c>
      <c r="M482" s="509"/>
    </row>
    <row r="483" spans="1:13" ht="12.75">
      <c r="A483" s="466" t="s">
        <v>318</v>
      </c>
      <c r="B483" s="450" t="s">
        <v>335</v>
      </c>
      <c r="C483" s="458" t="s">
        <v>345</v>
      </c>
      <c r="D483" s="449">
        <v>37537</v>
      </c>
      <c r="E483" s="450" t="s">
        <v>245</v>
      </c>
      <c r="F483" s="467">
        <v>0.2</v>
      </c>
      <c r="G483" s="467" t="s">
        <v>321</v>
      </c>
      <c r="H483" s="468">
        <v>0.5</v>
      </c>
      <c r="I483" s="450">
        <v>0.2</v>
      </c>
      <c r="J483" s="450" t="s">
        <v>322</v>
      </c>
      <c r="K483" s="469">
        <v>31</v>
      </c>
      <c r="L483" s="470">
        <v>1</v>
      </c>
      <c r="M483" s="509"/>
    </row>
    <row r="484" spans="1:13" ht="12.75">
      <c r="A484" s="466" t="s">
        <v>318</v>
      </c>
      <c r="B484" s="450" t="s">
        <v>335</v>
      </c>
      <c r="C484" s="458" t="s">
        <v>345</v>
      </c>
      <c r="D484" s="449">
        <v>37743</v>
      </c>
      <c r="E484" s="450" t="s">
        <v>245</v>
      </c>
      <c r="F484" s="467">
        <v>0.2</v>
      </c>
      <c r="G484" s="467" t="s">
        <v>321</v>
      </c>
      <c r="H484" s="468">
        <v>0.5</v>
      </c>
      <c r="I484" s="450">
        <v>0.2</v>
      </c>
      <c r="J484" s="450" t="s">
        <v>322</v>
      </c>
      <c r="K484" s="469">
        <v>31</v>
      </c>
      <c r="L484" s="470">
        <v>1</v>
      </c>
      <c r="M484" s="509"/>
    </row>
    <row r="485" spans="1:13" ht="12.75">
      <c r="A485" s="466" t="s">
        <v>318</v>
      </c>
      <c r="B485" s="450" t="s">
        <v>335</v>
      </c>
      <c r="C485" s="458" t="s">
        <v>345</v>
      </c>
      <c r="D485" s="449">
        <v>37897</v>
      </c>
      <c r="E485" s="450" t="s">
        <v>245</v>
      </c>
      <c r="F485" s="467">
        <v>0.2</v>
      </c>
      <c r="G485" s="467" t="s">
        <v>321</v>
      </c>
      <c r="H485" s="468">
        <v>0.5</v>
      </c>
      <c r="I485" s="450">
        <v>0.2</v>
      </c>
      <c r="J485" s="450" t="s">
        <v>322</v>
      </c>
      <c r="K485" s="469">
        <v>31</v>
      </c>
      <c r="L485" s="470">
        <v>1</v>
      </c>
      <c r="M485" s="509"/>
    </row>
    <row r="486" spans="1:13" ht="12.75">
      <c r="A486" s="466" t="s">
        <v>318</v>
      </c>
      <c r="B486" s="450" t="s">
        <v>335</v>
      </c>
      <c r="C486" s="458" t="s">
        <v>345</v>
      </c>
      <c r="D486" s="449">
        <v>38127</v>
      </c>
      <c r="E486" s="450" t="s">
        <v>245</v>
      </c>
      <c r="F486" s="467">
        <v>0.2</v>
      </c>
      <c r="G486" s="467" t="s">
        <v>321</v>
      </c>
      <c r="H486" s="468">
        <v>5</v>
      </c>
      <c r="I486" s="450">
        <v>0.2</v>
      </c>
      <c r="J486" s="450" t="s">
        <v>322</v>
      </c>
      <c r="K486" s="469">
        <v>31</v>
      </c>
      <c r="L486" s="470">
        <v>10</v>
      </c>
      <c r="M486" s="509"/>
    </row>
    <row r="487" spans="1:13" ht="12.75">
      <c r="A487" s="466" t="s">
        <v>318</v>
      </c>
      <c r="B487" s="450" t="s">
        <v>335</v>
      </c>
      <c r="C487" s="458" t="s">
        <v>345</v>
      </c>
      <c r="D487" s="449">
        <v>38273</v>
      </c>
      <c r="E487" s="450" t="s">
        <v>245</v>
      </c>
      <c r="F487" s="467">
        <v>0.05</v>
      </c>
      <c r="G487" s="467" t="s">
        <v>321</v>
      </c>
      <c r="H487" s="468">
        <v>0.5</v>
      </c>
      <c r="I487" s="450">
        <v>0.05</v>
      </c>
      <c r="J487" s="450" t="s">
        <v>322</v>
      </c>
      <c r="K487" s="469">
        <v>31</v>
      </c>
      <c r="L487" s="470">
        <v>1</v>
      </c>
      <c r="M487" s="509"/>
    </row>
    <row r="488" spans="1:13" ht="12.75">
      <c r="A488" s="466" t="s">
        <v>318</v>
      </c>
      <c r="B488" s="450" t="s">
        <v>335</v>
      </c>
      <c r="C488" s="458" t="s">
        <v>345</v>
      </c>
      <c r="D488" s="449">
        <v>38477</v>
      </c>
      <c r="E488" s="450" t="s">
        <v>245</v>
      </c>
      <c r="F488" s="467">
        <v>0.05</v>
      </c>
      <c r="G488" s="467" t="s">
        <v>321</v>
      </c>
      <c r="H488" s="468">
        <v>0.5</v>
      </c>
      <c r="I488" s="450">
        <v>0.05</v>
      </c>
      <c r="J488" s="450" t="s">
        <v>322</v>
      </c>
      <c r="K488" s="469">
        <v>31</v>
      </c>
      <c r="L488" s="470">
        <v>1</v>
      </c>
      <c r="M488" s="509"/>
    </row>
    <row r="489" spans="1:13" ht="12.75">
      <c r="A489" s="466" t="s">
        <v>318</v>
      </c>
      <c r="B489" s="450" t="s">
        <v>335</v>
      </c>
      <c r="C489" s="458" t="s">
        <v>346</v>
      </c>
      <c r="D489" s="449">
        <v>37173</v>
      </c>
      <c r="E489" s="450" t="s">
        <v>245</v>
      </c>
      <c r="F489" s="467">
        <v>0.25</v>
      </c>
      <c r="G489" s="467" t="s">
        <v>321</v>
      </c>
      <c r="H489" s="468">
        <v>0.5</v>
      </c>
      <c r="I489" s="450">
        <v>0.25</v>
      </c>
      <c r="J489" s="450" t="s">
        <v>322</v>
      </c>
      <c r="K489" s="469">
        <v>32</v>
      </c>
      <c r="L489" s="470">
        <v>1</v>
      </c>
      <c r="M489" s="509"/>
    </row>
    <row r="490" spans="1:13" ht="12.75">
      <c r="A490" s="466" t="s">
        <v>318</v>
      </c>
      <c r="B490" s="450" t="s">
        <v>335</v>
      </c>
      <c r="C490" s="458" t="s">
        <v>347</v>
      </c>
      <c r="D490" s="449">
        <v>37173</v>
      </c>
      <c r="E490" s="450" t="s">
        <v>245</v>
      </c>
      <c r="F490" s="467">
        <v>0.22</v>
      </c>
      <c r="G490" s="467" t="s">
        <v>321</v>
      </c>
      <c r="H490" s="468">
        <v>0.5</v>
      </c>
      <c r="I490" s="450">
        <v>0.22</v>
      </c>
      <c r="J490" s="450" t="s">
        <v>322</v>
      </c>
      <c r="K490" s="469">
        <v>32</v>
      </c>
      <c r="L490" s="470">
        <v>1</v>
      </c>
      <c r="M490" s="509"/>
    </row>
    <row r="491" spans="1:13" ht="12.75">
      <c r="A491" s="466" t="s">
        <v>318</v>
      </c>
      <c r="B491" s="450" t="s">
        <v>335</v>
      </c>
      <c r="C491" s="458" t="s">
        <v>346</v>
      </c>
      <c r="D491" s="449">
        <v>37386</v>
      </c>
      <c r="E491" s="450" t="s">
        <v>245</v>
      </c>
      <c r="F491" s="467">
        <v>0.25</v>
      </c>
      <c r="G491" s="467" t="s">
        <v>321</v>
      </c>
      <c r="H491" s="468">
        <v>0.5</v>
      </c>
      <c r="I491" s="450">
        <v>0.25</v>
      </c>
      <c r="J491" s="450" t="s">
        <v>322</v>
      </c>
      <c r="K491" s="469">
        <v>32</v>
      </c>
      <c r="L491" s="470">
        <v>1</v>
      </c>
      <c r="M491" s="509"/>
    </row>
    <row r="492" spans="1:13" ht="12.75">
      <c r="A492" s="466" t="s">
        <v>318</v>
      </c>
      <c r="B492" s="450" t="s">
        <v>335</v>
      </c>
      <c r="C492" s="458" t="s">
        <v>347</v>
      </c>
      <c r="D492" s="449">
        <v>37386</v>
      </c>
      <c r="E492" s="450" t="s">
        <v>245</v>
      </c>
      <c r="F492" s="467">
        <v>0.22</v>
      </c>
      <c r="G492" s="467" t="s">
        <v>321</v>
      </c>
      <c r="H492" s="468">
        <v>0.5</v>
      </c>
      <c r="I492" s="450">
        <v>0.22</v>
      </c>
      <c r="J492" s="450" t="s">
        <v>322</v>
      </c>
      <c r="K492" s="469">
        <v>32</v>
      </c>
      <c r="L492" s="470">
        <v>1</v>
      </c>
      <c r="M492" s="509"/>
    </row>
    <row r="493" spans="1:13" ht="12.75">
      <c r="A493" s="466" t="s">
        <v>318</v>
      </c>
      <c r="B493" s="450" t="s">
        <v>335</v>
      </c>
      <c r="C493" s="458" t="s">
        <v>346</v>
      </c>
      <c r="D493" s="449">
        <v>37537</v>
      </c>
      <c r="E493" s="450" t="s">
        <v>245</v>
      </c>
      <c r="F493" s="467">
        <v>0.2</v>
      </c>
      <c r="G493" s="467" t="s">
        <v>321</v>
      </c>
      <c r="H493" s="468">
        <v>0.5</v>
      </c>
      <c r="I493" s="450">
        <v>0.2</v>
      </c>
      <c r="J493" s="450" t="s">
        <v>322</v>
      </c>
      <c r="K493" s="469">
        <v>32</v>
      </c>
      <c r="L493" s="470">
        <v>1</v>
      </c>
      <c r="M493" s="509"/>
    </row>
    <row r="494" spans="1:13" ht="12.75">
      <c r="A494" s="466" t="s">
        <v>318</v>
      </c>
      <c r="B494" s="450" t="s">
        <v>335</v>
      </c>
      <c r="C494" s="458" t="s">
        <v>347</v>
      </c>
      <c r="D494" s="449">
        <v>37537</v>
      </c>
      <c r="E494" s="450" t="s">
        <v>245</v>
      </c>
      <c r="F494" s="467">
        <v>0.3</v>
      </c>
      <c r="G494" s="467" t="s">
        <v>321</v>
      </c>
      <c r="H494" s="468">
        <v>0.5</v>
      </c>
      <c r="I494" s="450">
        <v>0.3</v>
      </c>
      <c r="J494" s="450" t="s">
        <v>322</v>
      </c>
      <c r="K494" s="469">
        <v>32</v>
      </c>
      <c r="L494" s="470">
        <v>1</v>
      </c>
      <c r="M494" s="509"/>
    </row>
    <row r="495" spans="1:13" ht="12.75">
      <c r="A495" s="466" t="s">
        <v>318</v>
      </c>
      <c r="B495" s="450" t="s">
        <v>335</v>
      </c>
      <c r="C495" s="458" t="s">
        <v>346</v>
      </c>
      <c r="D495" s="449">
        <v>37743</v>
      </c>
      <c r="E495" s="450" t="s">
        <v>245</v>
      </c>
      <c r="F495" s="467">
        <v>0.2</v>
      </c>
      <c r="G495" s="467" t="s">
        <v>321</v>
      </c>
      <c r="H495" s="468">
        <v>0.5</v>
      </c>
      <c r="I495" s="450">
        <v>0.2</v>
      </c>
      <c r="J495" s="450" t="s">
        <v>322</v>
      </c>
      <c r="K495" s="469">
        <v>32</v>
      </c>
      <c r="L495" s="470">
        <v>1</v>
      </c>
      <c r="M495" s="509"/>
    </row>
    <row r="496" spans="1:13" ht="12.75">
      <c r="A496" s="466" t="s">
        <v>318</v>
      </c>
      <c r="B496" s="450" t="s">
        <v>335</v>
      </c>
      <c r="C496" s="458" t="s">
        <v>347</v>
      </c>
      <c r="D496" s="449">
        <v>37743</v>
      </c>
      <c r="E496" s="450" t="s">
        <v>245</v>
      </c>
      <c r="F496" s="467">
        <v>0.3</v>
      </c>
      <c r="G496" s="467" t="s">
        <v>321</v>
      </c>
      <c r="H496" s="468">
        <v>0.5</v>
      </c>
      <c r="I496" s="450">
        <v>0.3</v>
      </c>
      <c r="J496" s="450" t="s">
        <v>322</v>
      </c>
      <c r="K496" s="469">
        <v>32</v>
      </c>
      <c r="L496" s="470">
        <v>1</v>
      </c>
      <c r="M496" s="509"/>
    </row>
    <row r="497" spans="1:13" ht="12.75">
      <c r="A497" s="466" t="s">
        <v>318</v>
      </c>
      <c r="B497" s="450" t="s">
        <v>335</v>
      </c>
      <c r="C497" s="458" t="s">
        <v>346</v>
      </c>
      <c r="D497" s="449">
        <v>37897</v>
      </c>
      <c r="E497" s="450" t="s">
        <v>245</v>
      </c>
      <c r="F497" s="467">
        <v>0.2</v>
      </c>
      <c r="G497" s="467" t="s">
        <v>321</v>
      </c>
      <c r="H497" s="468">
        <v>0.5</v>
      </c>
      <c r="I497" s="450">
        <v>0.2</v>
      </c>
      <c r="J497" s="450" t="s">
        <v>322</v>
      </c>
      <c r="K497" s="469">
        <v>32</v>
      </c>
      <c r="L497" s="470">
        <v>1</v>
      </c>
      <c r="M497" s="509"/>
    </row>
    <row r="498" spans="1:13" ht="12.75">
      <c r="A498" s="466" t="s">
        <v>318</v>
      </c>
      <c r="B498" s="450" t="s">
        <v>335</v>
      </c>
      <c r="C498" s="458" t="s">
        <v>347</v>
      </c>
      <c r="D498" s="449">
        <v>37897</v>
      </c>
      <c r="E498" s="450" t="s">
        <v>245</v>
      </c>
      <c r="F498" s="467">
        <v>0.3</v>
      </c>
      <c r="G498" s="467" t="s">
        <v>321</v>
      </c>
      <c r="H498" s="468">
        <v>0.5</v>
      </c>
      <c r="I498" s="450">
        <v>0.3</v>
      </c>
      <c r="J498" s="450" t="s">
        <v>322</v>
      </c>
      <c r="K498" s="469">
        <v>32</v>
      </c>
      <c r="L498" s="470">
        <v>1</v>
      </c>
      <c r="M498" s="509"/>
    </row>
    <row r="499" spans="1:13" ht="12.75">
      <c r="A499" s="466" t="s">
        <v>318</v>
      </c>
      <c r="B499" s="450" t="s">
        <v>335</v>
      </c>
      <c r="C499" s="458" t="s">
        <v>346</v>
      </c>
      <c r="D499" s="449">
        <v>38127</v>
      </c>
      <c r="E499" s="450" t="s">
        <v>245</v>
      </c>
      <c r="F499" s="467">
        <v>0.2</v>
      </c>
      <c r="G499" s="467" t="s">
        <v>321</v>
      </c>
      <c r="H499" s="468">
        <v>5</v>
      </c>
      <c r="I499" s="450">
        <v>0.2</v>
      </c>
      <c r="J499" s="450" t="s">
        <v>322</v>
      </c>
      <c r="K499" s="469">
        <v>32</v>
      </c>
      <c r="L499" s="470">
        <v>10</v>
      </c>
      <c r="M499" s="509"/>
    </row>
    <row r="500" spans="1:13" ht="12.75">
      <c r="A500" s="466" t="s">
        <v>318</v>
      </c>
      <c r="B500" s="450" t="s">
        <v>335</v>
      </c>
      <c r="C500" s="458" t="s">
        <v>347</v>
      </c>
      <c r="D500" s="449">
        <v>38127</v>
      </c>
      <c r="E500" s="450" t="s">
        <v>245</v>
      </c>
      <c r="F500" s="467">
        <v>0.3</v>
      </c>
      <c r="G500" s="467" t="s">
        <v>321</v>
      </c>
      <c r="H500" s="468">
        <v>5</v>
      </c>
      <c r="I500" s="450">
        <v>0.3</v>
      </c>
      <c r="J500" s="450" t="s">
        <v>322</v>
      </c>
      <c r="K500" s="469">
        <v>32</v>
      </c>
      <c r="L500" s="470">
        <v>10</v>
      </c>
      <c r="M500" s="509"/>
    </row>
    <row r="501" spans="1:13" ht="12.75">
      <c r="A501" s="466" t="s">
        <v>318</v>
      </c>
      <c r="B501" s="450" t="s">
        <v>335</v>
      </c>
      <c r="C501" s="458" t="s">
        <v>346</v>
      </c>
      <c r="D501" s="449">
        <v>38273</v>
      </c>
      <c r="E501" s="450" t="s">
        <v>245</v>
      </c>
      <c r="F501" s="467">
        <v>0.06</v>
      </c>
      <c r="G501" s="467" t="s">
        <v>321</v>
      </c>
      <c r="H501" s="468">
        <v>0.5</v>
      </c>
      <c r="I501" s="450">
        <v>0.06</v>
      </c>
      <c r="J501" s="450" t="s">
        <v>322</v>
      </c>
      <c r="K501" s="469">
        <v>32</v>
      </c>
      <c r="L501" s="470">
        <v>1</v>
      </c>
      <c r="M501" s="509"/>
    </row>
    <row r="502" spans="1:13" ht="12.75">
      <c r="A502" s="466" t="s">
        <v>318</v>
      </c>
      <c r="B502" s="450" t="s">
        <v>335</v>
      </c>
      <c r="C502" s="458" t="s">
        <v>347</v>
      </c>
      <c r="D502" s="449">
        <v>38273</v>
      </c>
      <c r="E502" s="450" t="s">
        <v>245</v>
      </c>
      <c r="F502" s="467">
        <v>0.06</v>
      </c>
      <c r="G502" s="467" t="s">
        <v>321</v>
      </c>
      <c r="H502" s="468">
        <v>0.5</v>
      </c>
      <c r="I502" s="450">
        <v>0.06</v>
      </c>
      <c r="J502" s="450" t="s">
        <v>322</v>
      </c>
      <c r="K502" s="469">
        <v>32</v>
      </c>
      <c r="L502" s="470">
        <v>1</v>
      </c>
      <c r="M502" s="509"/>
    </row>
    <row r="503" spans="1:13" ht="12.75">
      <c r="A503" s="466" t="s">
        <v>318</v>
      </c>
      <c r="B503" s="450" t="s">
        <v>335</v>
      </c>
      <c r="C503" s="458" t="s">
        <v>346</v>
      </c>
      <c r="D503" s="449">
        <v>38477</v>
      </c>
      <c r="E503" s="450" t="s">
        <v>245</v>
      </c>
      <c r="F503" s="467">
        <v>0.06</v>
      </c>
      <c r="G503" s="467" t="s">
        <v>321</v>
      </c>
      <c r="H503" s="468">
        <v>0.5</v>
      </c>
      <c r="I503" s="450">
        <v>0.06</v>
      </c>
      <c r="J503" s="450" t="s">
        <v>322</v>
      </c>
      <c r="K503" s="469">
        <v>32</v>
      </c>
      <c r="L503" s="470">
        <v>1</v>
      </c>
      <c r="M503" s="509"/>
    </row>
    <row r="504" spans="1:13" ht="12.75">
      <c r="A504" s="466" t="s">
        <v>318</v>
      </c>
      <c r="B504" s="450" t="s">
        <v>335</v>
      </c>
      <c r="C504" s="458" t="s">
        <v>347</v>
      </c>
      <c r="D504" s="449">
        <v>38477</v>
      </c>
      <c r="E504" s="450" t="s">
        <v>245</v>
      </c>
      <c r="F504" s="467">
        <v>0.06</v>
      </c>
      <c r="G504" s="467" t="s">
        <v>321</v>
      </c>
      <c r="H504" s="468">
        <v>0.5</v>
      </c>
      <c r="I504" s="450">
        <v>0.06</v>
      </c>
      <c r="J504" s="450" t="s">
        <v>322</v>
      </c>
      <c r="K504" s="469">
        <v>32</v>
      </c>
      <c r="L504" s="470">
        <v>1</v>
      </c>
      <c r="M504" s="509"/>
    </row>
    <row r="505" spans="1:13" ht="12.75">
      <c r="A505" s="466" t="s">
        <v>318</v>
      </c>
      <c r="B505" s="450" t="s">
        <v>335</v>
      </c>
      <c r="C505" s="458" t="s">
        <v>348</v>
      </c>
      <c r="D505" s="449">
        <v>37173</v>
      </c>
      <c r="E505" s="450" t="s">
        <v>245</v>
      </c>
      <c r="F505" s="467">
        <v>0.3</v>
      </c>
      <c r="G505" s="467" t="s">
        <v>321</v>
      </c>
      <c r="H505" s="468">
        <v>0.5</v>
      </c>
      <c r="I505" s="450">
        <v>0.3</v>
      </c>
      <c r="J505" s="450" t="s">
        <v>322</v>
      </c>
      <c r="K505" s="469">
        <v>33</v>
      </c>
      <c r="L505" s="470">
        <v>1</v>
      </c>
      <c r="M505" s="509"/>
    </row>
    <row r="506" spans="1:13" ht="12.75">
      <c r="A506" s="466" t="s">
        <v>318</v>
      </c>
      <c r="B506" s="450" t="s">
        <v>335</v>
      </c>
      <c r="C506" s="458" t="s">
        <v>348</v>
      </c>
      <c r="D506" s="449">
        <v>37386</v>
      </c>
      <c r="E506" s="450" t="s">
        <v>245</v>
      </c>
      <c r="F506" s="467">
        <v>0.3</v>
      </c>
      <c r="G506" s="467" t="s">
        <v>321</v>
      </c>
      <c r="H506" s="468">
        <v>0.5</v>
      </c>
      <c r="I506" s="450">
        <v>0.3</v>
      </c>
      <c r="J506" s="450" t="s">
        <v>322</v>
      </c>
      <c r="K506" s="469">
        <v>33</v>
      </c>
      <c r="L506" s="470">
        <v>1</v>
      </c>
      <c r="M506" s="509"/>
    </row>
    <row r="507" spans="1:13" ht="12.75">
      <c r="A507" s="466" t="s">
        <v>318</v>
      </c>
      <c r="B507" s="450" t="s">
        <v>335</v>
      </c>
      <c r="C507" s="458" t="s">
        <v>348</v>
      </c>
      <c r="D507" s="449">
        <v>37537</v>
      </c>
      <c r="E507" s="450" t="s">
        <v>245</v>
      </c>
      <c r="F507" s="467">
        <v>0.4</v>
      </c>
      <c r="G507" s="467" t="s">
        <v>321</v>
      </c>
      <c r="H507" s="468">
        <v>0.5</v>
      </c>
      <c r="I507" s="450">
        <v>0.4</v>
      </c>
      <c r="J507" s="450" t="s">
        <v>322</v>
      </c>
      <c r="K507" s="469">
        <v>33</v>
      </c>
      <c r="L507" s="470">
        <v>1</v>
      </c>
      <c r="M507" s="509"/>
    </row>
    <row r="508" spans="1:13" ht="12.75">
      <c r="A508" s="466" t="s">
        <v>318</v>
      </c>
      <c r="B508" s="450" t="s">
        <v>335</v>
      </c>
      <c r="C508" s="458" t="s">
        <v>348</v>
      </c>
      <c r="D508" s="449">
        <v>37743</v>
      </c>
      <c r="E508" s="450" t="s">
        <v>245</v>
      </c>
      <c r="F508" s="467">
        <v>0.4</v>
      </c>
      <c r="G508" s="467" t="s">
        <v>321</v>
      </c>
      <c r="H508" s="468">
        <v>0.5</v>
      </c>
      <c r="I508" s="450">
        <v>0.4</v>
      </c>
      <c r="J508" s="450" t="s">
        <v>322</v>
      </c>
      <c r="K508" s="469">
        <v>33</v>
      </c>
      <c r="L508" s="470">
        <v>1</v>
      </c>
      <c r="M508" s="509"/>
    </row>
    <row r="509" spans="1:13" ht="12.75">
      <c r="A509" s="466" t="s">
        <v>318</v>
      </c>
      <c r="B509" s="450" t="s">
        <v>335</v>
      </c>
      <c r="C509" s="458" t="s">
        <v>348</v>
      </c>
      <c r="D509" s="449">
        <v>37897</v>
      </c>
      <c r="E509" s="450" t="s">
        <v>245</v>
      </c>
      <c r="F509" s="467">
        <v>0.4</v>
      </c>
      <c r="G509" s="467" t="s">
        <v>321</v>
      </c>
      <c r="H509" s="468">
        <v>0.5</v>
      </c>
      <c r="I509" s="450">
        <v>0.4</v>
      </c>
      <c r="J509" s="450" t="s">
        <v>322</v>
      </c>
      <c r="K509" s="469">
        <v>33</v>
      </c>
      <c r="L509" s="470">
        <v>1</v>
      </c>
      <c r="M509" s="509"/>
    </row>
    <row r="510" spans="1:13" ht="12.75">
      <c r="A510" s="466" t="s">
        <v>318</v>
      </c>
      <c r="B510" s="450" t="s">
        <v>335</v>
      </c>
      <c r="C510" s="458" t="s">
        <v>348</v>
      </c>
      <c r="D510" s="449">
        <v>38127</v>
      </c>
      <c r="E510" s="450" t="s">
        <v>245</v>
      </c>
      <c r="F510" s="467">
        <v>0.4</v>
      </c>
      <c r="G510" s="467" t="s">
        <v>321</v>
      </c>
      <c r="H510" s="468">
        <v>5</v>
      </c>
      <c r="I510" s="450">
        <v>0.4</v>
      </c>
      <c r="J510" s="450" t="s">
        <v>322</v>
      </c>
      <c r="K510" s="469">
        <v>33</v>
      </c>
      <c r="L510" s="470">
        <v>10</v>
      </c>
      <c r="M510" s="509"/>
    </row>
    <row r="511" spans="1:13" ht="12.75">
      <c r="A511" s="466" t="s">
        <v>318</v>
      </c>
      <c r="B511" s="450" t="s">
        <v>335</v>
      </c>
      <c r="C511" s="458" t="s">
        <v>348</v>
      </c>
      <c r="D511" s="449">
        <v>38273</v>
      </c>
      <c r="E511" s="450" t="s">
        <v>245</v>
      </c>
      <c r="F511" s="467">
        <v>0.06</v>
      </c>
      <c r="G511" s="467" t="s">
        <v>321</v>
      </c>
      <c r="H511" s="468">
        <v>0.5</v>
      </c>
      <c r="I511" s="450">
        <v>0.06</v>
      </c>
      <c r="J511" s="450" t="s">
        <v>322</v>
      </c>
      <c r="K511" s="469">
        <v>33</v>
      </c>
      <c r="L511" s="470">
        <v>1</v>
      </c>
      <c r="M511" s="509"/>
    </row>
    <row r="512" spans="1:13" ht="12.75">
      <c r="A512" s="466" t="s">
        <v>318</v>
      </c>
      <c r="B512" s="450" t="s">
        <v>335</v>
      </c>
      <c r="C512" s="458" t="s">
        <v>348</v>
      </c>
      <c r="D512" s="449">
        <v>38477</v>
      </c>
      <c r="E512" s="450" t="s">
        <v>245</v>
      </c>
      <c r="F512" s="467">
        <v>0.06</v>
      </c>
      <c r="G512" s="467" t="s">
        <v>321</v>
      </c>
      <c r="H512" s="468">
        <v>0.5</v>
      </c>
      <c r="I512" s="450">
        <v>0.06</v>
      </c>
      <c r="J512" s="450" t="s">
        <v>322</v>
      </c>
      <c r="K512" s="469">
        <v>33</v>
      </c>
      <c r="L512" s="470">
        <v>1</v>
      </c>
      <c r="M512" s="509"/>
    </row>
    <row r="513" spans="1:13" ht="12.75">
      <c r="A513" s="466" t="s">
        <v>318</v>
      </c>
      <c r="B513" s="450" t="s">
        <v>335</v>
      </c>
      <c r="C513" s="458" t="s">
        <v>349</v>
      </c>
      <c r="D513" s="449">
        <v>37173</v>
      </c>
      <c r="E513" s="450" t="s">
        <v>322</v>
      </c>
      <c r="F513" s="467">
        <v>3.4</v>
      </c>
      <c r="G513" s="467" t="s">
        <v>321</v>
      </c>
      <c r="H513" s="468">
        <v>0.5</v>
      </c>
      <c r="I513" s="450">
        <v>0.46</v>
      </c>
      <c r="J513" s="450" t="s">
        <v>322</v>
      </c>
      <c r="K513" s="469">
        <v>34</v>
      </c>
      <c r="L513" s="470">
        <v>1</v>
      </c>
      <c r="M513" s="509"/>
    </row>
    <row r="514" spans="1:13" ht="12.75">
      <c r="A514" s="466" t="s">
        <v>318</v>
      </c>
      <c r="B514" s="450" t="s">
        <v>335</v>
      </c>
      <c r="C514" s="458" t="s">
        <v>349</v>
      </c>
      <c r="D514" s="449">
        <v>37386</v>
      </c>
      <c r="E514" s="450" t="s">
        <v>245</v>
      </c>
      <c r="F514" s="467">
        <v>0.46</v>
      </c>
      <c r="G514" s="467" t="s">
        <v>321</v>
      </c>
      <c r="H514" s="468">
        <v>0.5</v>
      </c>
      <c r="I514" s="450">
        <v>0.46</v>
      </c>
      <c r="J514" s="450" t="s">
        <v>322</v>
      </c>
      <c r="K514" s="469">
        <v>34</v>
      </c>
      <c r="L514" s="470">
        <v>1</v>
      </c>
      <c r="M514" s="509"/>
    </row>
    <row r="515" spans="1:13" ht="12.75">
      <c r="A515" s="466" t="s">
        <v>318</v>
      </c>
      <c r="B515" s="450" t="s">
        <v>335</v>
      </c>
      <c r="C515" s="458" t="s">
        <v>349</v>
      </c>
      <c r="D515" s="449">
        <v>37537</v>
      </c>
      <c r="E515" s="450" t="s">
        <v>245</v>
      </c>
      <c r="F515" s="467">
        <v>0.42</v>
      </c>
      <c r="G515" s="467" t="s">
        <v>321</v>
      </c>
      <c r="H515" s="468">
        <v>0.5</v>
      </c>
      <c r="I515" s="450">
        <v>0.42</v>
      </c>
      <c r="J515" s="450" t="s">
        <v>322</v>
      </c>
      <c r="K515" s="469">
        <v>34</v>
      </c>
      <c r="L515" s="470">
        <v>1</v>
      </c>
      <c r="M515" s="509"/>
    </row>
    <row r="516" spans="1:13" ht="12.75">
      <c r="A516" s="466" t="s">
        <v>318</v>
      </c>
      <c r="B516" s="450" t="s">
        <v>335</v>
      </c>
      <c r="C516" s="458" t="s">
        <v>349</v>
      </c>
      <c r="D516" s="449">
        <v>37743</v>
      </c>
      <c r="E516" s="450" t="s">
        <v>245</v>
      </c>
      <c r="F516" s="467">
        <v>0.42</v>
      </c>
      <c r="G516" s="467" t="s">
        <v>321</v>
      </c>
      <c r="H516" s="468">
        <v>0.5</v>
      </c>
      <c r="I516" s="450">
        <v>0.42</v>
      </c>
      <c r="J516" s="450" t="s">
        <v>322</v>
      </c>
      <c r="K516" s="469">
        <v>34</v>
      </c>
      <c r="L516" s="470">
        <v>1</v>
      </c>
      <c r="M516" s="509"/>
    </row>
    <row r="517" spans="1:13" ht="12.75">
      <c r="A517" s="466" t="s">
        <v>318</v>
      </c>
      <c r="B517" s="450" t="s">
        <v>335</v>
      </c>
      <c r="C517" s="458" t="s">
        <v>349</v>
      </c>
      <c r="D517" s="449">
        <v>37897</v>
      </c>
      <c r="E517" s="450" t="s">
        <v>245</v>
      </c>
      <c r="F517" s="467">
        <v>0.42</v>
      </c>
      <c r="G517" s="467" t="s">
        <v>321</v>
      </c>
      <c r="H517" s="468">
        <v>0.5</v>
      </c>
      <c r="I517" s="450">
        <v>0.42</v>
      </c>
      <c r="J517" s="450" t="s">
        <v>322</v>
      </c>
      <c r="K517" s="469">
        <v>34</v>
      </c>
      <c r="L517" s="470">
        <v>1</v>
      </c>
      <c r="M517" s="509"/>
    </row>
    <row r="518" spans="1:13" ht="12.75">
      <c r="A518" s="466" t="s">
        <v>318</v>
      </c>
      <c r="B518" s="450" t="s">
        <v>335</v>
      </c>
      <c r="C518" s="458" t="s">
        <v>349</v>
      </c>
      <c r="D518" s="449">
        <v>38127</v>
      </c>
      <c r="E518" s="450" t="s">
        <v>245</v>
      </c>
      <c r="F518" s="467">
        <v>0.42</v>
      </c>
      <c r="G518" s="467" t="s">
        <v>321</v>
      </c>
      <c r="H518" s="468">
        <v>5</v>
      </c>
      <c r="I518" s="450">
        <v>0.42</v>
      </c>
      <c r="J518" s="450" t="s">
        <v>322</v>
      </c>
      <c r="K518" s="469">
        <v>34</v>
      </c>
      <c r="L518" s="470">
        <v>10</v>
      </c>
      <c r="M518" s="509"/>
    </row>
    <row r="519" spans="1:13" ht="12.75">
      <c r="A519" s="466" t="s">
        <v>318</v>
      </c>
      <c r="B519" s="450" t="s">
        <v>335</v>
      </c>
      <c r="C519" s="458" t="s">
        <v>349</v>
      </c>
      <c r="D519" s="449">
        <v>38273</v>
      </c>
      <c r="E519" s="450" t="s">
        <v>245</v>
      </c>
      <c r="F519" s="467">
        <v>0.05</v>
      </c>
      <c r="G519" s="467" t="s">
        <v>321</v>
      </c>
      <c r="H519" s="468">
        <v>0.5</v>
      </c>
      <c r="I519" s="450">
        <v>0.05</v>
      </c>
      <c r="J519" s="450" t="s">
        <v>322</v>
      </c>
      <c r="K519" s="469">
        <v>34</v>
      </c>
      <c r="L519" s="470">
        <v>1</v>
      </c>
      <c r="M519" s="509"/>
    </row>
    <row r="520" spans="1:13" ht="12.75">
      <c r="A520" s="466" t="s">
        <v>318</v>
      </c>
      <c r="B520" s="450" t="s">
        <v>335</v>
      </c>
      <c r="C520" s="458" t="s">
        <v>349</v>
      </c>
      <c r="D520" s="449">
        <v>38477</v>
      </c>
      <c r="E520" s="450" t="s">
        <v>245</v>
      </c>
      <c r="F520" s="467">
        <v>0.05</v>
      </c>
      <c r="G520" s="467" t="s">
        <v>321</v>
      </c>
      <c r="H520" s="468">
        <v>0.5</v>
      </c>
      <c r="I520" s="450">
        <v>0.05</v>
      </c>
      <c r="J520" s="450" t="s">
        <v>322</v>
      </c>
      <c r="K520" s="469">
        <v>34</v>
      </c>
      <c r="L520" s="470">
        <v>1</v>
      </c>
      <c r="M520" s="509"/>
    </row>
    <row r="521" spans="1:13" ht="12.75">
      <c r="A521" s="466" t="s">
        <v>318</v>
      </c>
      <c r="B521" s="450" t="s">
        <v>335</v>
      </c>
      <c r="C521" s="458" t="s">
        <v>350</v>
      </c>
      <c r="D521" s="449">
        <v>37173</v>
      </c>
      <c r="E521" s="450" t="s">
        <v>245</v>
      </c>
      <c r="F521" s="467">
        <v>0.36</v>
      </c>
      <c r="G521" s="467" t="s">
        <v>321</v>
      </c>
      <c r="H521" s="468">
        <v>0.5</v>
      </c>
      <c r="I521" s="450">
        <v>0.36</v>
      </c>
      <c r="J521" s="450" t="s">
        <v>322</v>
      </c>
      <c r="K521" s="469">
        <v>35</v>
      </c>
      <c r="L521" s="470">
        <v>1</v>
      </c>
      <c r="M521" s="509"/>
    </row>
    <row r="522" spans="1:13" ht="12.75">
      <c r="A522" s="466" t="s">
        <v>318</v>
      </c>
      <c r="B522" s="450" t="s">
        <v>335</v>
      </c>
      <c r="C522" s="458" t="s">
        <v>350</v>
      </c>
      <c r="D522" s="449">
        <v>37386</v>
      </c>
      <c r="E522" s="450" t="s">
        <v>245</v>
      </c>
      <c r="F522" s="467">
        <v>0.36</v>
      </c>
      <c r="G522" s="467" t="s">
        <v>321</v>
      </c>
      <c r="H522" s="468">
        <v>0.5</v>
      </c>
      <c r="I522" s="450">
        <v>0.36</v>
      </c>
      <c r="J522" s="450" t="s">
        <v>322</v>
      </c>
      <c r="K522" s="469">
        <v>35</v>
      </c>
      <c r="L522" s="470">
        <v>1</v>
      </c>
      <c r="M522" s="509"/>
    </row>
    <row r="523" spans="1:13" ht="12.75">
      <c r="A523" s="466" t="s">
        <v>318</v>
      </c>
      <c r="B523" s="450" t="s">
        <v>335</v>
      </c>
      <c r="C523" s="458" t="s">
        <v>350</v>
      </c>
      <c r="D523" s="449">
        <v>37537</v>
      </c>
      <c r="E523" s="450" t="s">
        <v>245</v>
      </c>
      <c r="F523" s="467">
        <v>0.46</v>
      </c>
      <c r="G523" s="467" t="s">
        <v>321</v>
      </c>
      <c r="H523" s="468">
        <v>0.5</v>
      </c>
      <c r="I523" s="450">
        <v>0.46</v>
      </c>
      <c r="J523" s="450" t="s">
        <v>322</v>
      </c>
      <c r="K523" s="469">
        <v>35</v>
      </c>
      <c r="L523" s="470">
        <v>1</v>
      </c>
      <c r="M523" s="509"/>
    </row>
    <row r="524" spans="1:13" ht="12.75">
      <c r="A524" s="466" t="s">
        <v>318</v>
      </c>
      <c r="B524" s="450" t="s">
        <v>335</v>
      </c>
      <c r="C524" s="458" t="s">
        <v>350</v>
      </c>
      <c r="D524" s="449">
        <v>37743</v>
      </c>
      <c r="E524" s="450" t="s">
        <v>245</v>
      </c>
      <c r="F524" s="467">
        <v>0.46</v>
      </c>
      <c r="G524" s="467" t="s">
        <v>321</v>
      </c>
      <c r="H524" s="468">
        <v>0.5</v>
      </c>
      <c r="I524" s="450">
        <v>0.46</v>
      </c>
      <c r="J524" s="450" t="s">
        <v>322</v>
      </c>
      <c r="K524" s="469">
        <v>35</v>
      </c>
      <c r="L524" s="470">
        <v>1</v>
      </c>
      <c r="M524" s="509"/>
    </row>
    <row r="525" spans="1:13" ht="12.75">
      <c r="A525" s="466" t="s">
        <v>318</v>
      </c>
      <c r="B525" s="450" t="s">
        <v>335</v>
      </c>
      <c r="C525" s="458" t="s">
        <v>350</v>
      </c>
      <c r="D525" s="449">
        <v>37897</v>
      </c>
      <c r="E525" s="450" t="s">
        <v>245</v>
      </c>
      <c r="F525" s="467">
        <v>0.46</v>
      </c>
      <c r="G525" s="467" t="s">
        <v>321</v>
      </c>
      <c r="H525" s="468">
        <v>0.5</v>
      </c>
      <c r="I525" s="450">
        <v>0.46</v>
      </c>
      <c r="J525" s="450" t="s">
        <v>322</v>
      </c>
      <c r="K525" s="469">
        <v>35</v>
      </c>
      <c r="L525" s="470">
        <v>1</v>
      </c>
      <c r="M525" s="509"/>
    </row>
    <row r="526" spans="1:13" ht="12.75">
      <c r="A526" s="466" t="s">
        <v>318</v>
      </c>
      <c r="B526" s="450" t="s">
        <v>335</v>
      </c>
      <c r="C526" s="458" t="s">
        <v>350</v>
      </c>
      <c r="D526" s="449">
        <v>38127</v>
      </c>
      <c r="E526" s="450" t="s">
        <v>245</v>
      </c>
      <c r="F526" s="467">
        <v>0.46</v>
      </c>
      <c r="G526" s="467" t="s">
        <v>321</v>
      </c>
      <c r="H526" s="468">
        <v>5</v>
      </c>
      <c r="I526" s="450">
        <v>0.46</v>
      </c>
      <c r="J526" s="450" t="s">
        <v>322</v>
      </c>
      <c r="K526" s="469">
        <v>35</v>
      </c>
      <c r="L526" s="470">
        <v>10</v>
      </c>
      <c r="M526" s="509"/>
    </row>
    <row r="527" spans="1:13" ht="12.75">
      <c r="A527" s="466" t="s">
        <v>318</v>
      </c>
      <c r="B527" s="450" t="s">
        <v>335</v>
      </c>
      <c r="C527" s="458" t="s">
        <v>350</v>
      </c>
      <c r="D527" s="449">
        <v>38273</v>
      </c>
      <c r="E527" s="450" t="s">
        <v>245</v>
      </c>
      <c r="F527" s="467">
        <v>0.04</v>
      </c>
      <c r="G527" s="467" t="s">
        <v>321</v>
      </c>
      <c r="H527" s="468">
        <v>0.5</v>
      </c>
      <c r="I527" s="450">
        <v>0.04</v>
      </c>
      <c r="J527" s="450" t="s">
        <v>322</v>
      </c>
      <c r="K527" s="469">
        <v>35</v>
      </c>
      <c r="L527" s="470">
        <v>1</v>
      </c>
      <c r="M527" s="509"/>
    </row>
    <row r="528" spans="1:13" ht="12.75">
      <c r="A528" s="466" t="s">
        <v>318</v>
      </c>
      <c r="B528" s="450" t="s">
        <v>335</v>
      </c>
      <c r="C528" s="458" t="s">
        <v>350</v>
      </c>
      <c r="D528" s="449">
        <v>38477</v>
      </c>
      <c r="E528" s="450" t="s">
        <v>245</v>
      </c>
      <c r="F528" s="467">
        <v>0.04</v>
      </c>
      <c r="G528" s="467" t="s">
        <v>321</v>
      </c>
      <c r="H528" s="468">
        <v>0.5</v>
      </c>
      <c r="I528" s="450">
        <v>0.04</v>
      </c>
      <c r="J528" s="450" t="s">
        <v>322</v>
      </c>
      <c r="K528" s="469">
        <v>35</v>
      </c>
      <c r="L528" s="470">
        <v>1</v>
      </c>
      <c r="M528" s="509"/>
    </row>
    <row r="529" spans="1:13" ht="12.75">
      <c r="A529" s="466" t="s">
        <v>318</v>
      </c>
      <c r="B529" s="450" t="s">
        <v>335</v>
      </c>
      <c r="C529" s="458" t="s">
        <v>351</v>
      </c>
      <c r="D529" s="449">
        <v>37173</v>
      </c>
      <c r="E529" s="450" t="s">
        <v>245</v>
      </c>
      <c r="F529" s="467">
        <v>0.38</v>
      </c>
      <c r="G529" s="467" t="s">
        <v>321</v>
      </c>
      <c r="H529" s="468">
        <v>2</v>
      </c>
      <c r="I529" s="450">
        <v>0.38</v>
      </c>
      <c r="J529" s="450" t="s">
        <v>322</v>
      </c>
      <c r="K529" s="469">
        <v>36</v>
      </c>
      <c r="L529" s="470">
        <v>1</v>
      </c>
      <c r="M529" s="509"/>
    </row>
    <row r="530" spans="1:13" ht="12.75">
      <c r="A530" s="466" t="s">
        <v>318</v>
      </c>
      <c r="B530" s="450" t="s">
        <v>335</v>
      </c>
      <c r="C530" s="458" t="s">
        <v>351</v>
      </c>
      <c r="D530" s="449">
        <v>37386</v>
      </c>
      <c r="E530" s="450" t="s">
        <v>245</v>
      </c>
      <c r="F530" s="467">
        <v>0.38</v>
      </c>
      <c r="G530" s="467" t="s">
        <v>321</v>
      </c>
      <c r="H530" s="468">
        <v>2</v>
      </c>
      <c r="I530" s="450">
        <v>0.38</v>
      </c>
      <c r="J530" s="450" t="s">
        <v>322</v>
      </c>
      <c r="K530" s="469">
        <v>36</v>
      </c>
      <c r="L530" s="470">
        <v>1</v>
      </c>
      <c r="M530" s="509"/>
    </row>
    <row r="531" spans="1:13" ht="12.75">
      <c r="A531" s="466" t="s">
        <v>318</v>
      </c>
      <c r="B531" s="450" t="s">
        <v>335</v>
      </c>
      <c r="C531" s="458" t="s">
        <v>351</v>
      </c>
      <c r="D531" s="449">
        <v>37537</v>
      </c>
      <c r="E531" s="450" t="s">
        <v>245</v>
      </c>
      <c r="F531" s="467">
        <v>0.4</v>
      </c>
      <c r="G531" s="467" t="s">
        <v>321</v>
      </c>
      <c r="H531" s="468">
        <v>2</v>
      </c>
      <c r="I531" s="450">
        <v>0.4</v>
      </c>
      <c r="J531" s="450" t="s">
        <v>322</v>
      </c>
      <c r="K531" s="469">
        <v>36</v>
      </c>
      <c r="L531" s="470">
        <v>1</v>
      </c>
      <c r="M531" s="509"/>
    </row>
    <row r="532" spans="1:13" ht="12.75">
      <c r="A532" s="466" t="s">
        <v>318</v>
      </c>
      <c r="B532" s="450" t="s">
        <v>335</v>
      </c>
      <c r="C532" s="458" t="s">
        <v>351</v>
      </c>
      <c r="D532" s="449">
        <v>37743</v>
      </c>
      <c r="E532" s="450" t="s">
        <v>245</v>
      </c>
      <c r="F532" s="467">
        <v>0.4</v>
      </c>
      <c r="G532" s="467" t="s">
        <v>321</v>
      </c>
      <c r="H532" s="468">
        <v>2</v>
      </c>
      <c r="I532" s="450">
        <v>0.4</v>
      </c>
      <c r="J532" s="450" t="s">
        <v>322</v>
      </c>
      <c r="K532" s="469">
        <v>36</v>
      </c>
      <c r="L532" s="470">
        <v>1</v>
      </c>
      <c r="M532" s="509"/>
    </row>
    <row r="533" spans="1:13" ht="12.75">
      <c r="A533" s="466" t="s">
        <v>318</v>
      </c>
      <c r="B533" s="450" t="s">
        <v>335</v>
      </c>
      <c r="C533" s="458" t="s">
        <v>351</v>
      </c>
      <c r="D533" s="449">
        <v>37897</v>
      </c>
      <c r="E533" s="450" t="s">
        <v>245</v>
      </c>
      <c r="F533" s="467">
        <v>0.4</v>
      </c>
      <c r="G533" s="467" t="s">
        <v>321</v>
      </c>
      <c r="H533" s="468">
        <v>2</v>
      </c>
      <c r="I533" s="450">
        <v>0.4</v>
      </c>
      <c r="J533" s="450" t="s">
        <v>322</v>
      </c>
      <c r="K533" s="469">
        <v>36</v>
      </c>
      <c r="L533" s="470">
        <v>1</v>
      </c>
      <c r="M533" s="509"/>
    </row>
    <row r="534" spans="1:13" ht="12.75">
      <c r="A534" s="466" t="s">
        <v>318</v>
      </c>
      <c r="B534" s="450" t="s">
        <v>335</v>
      </c>
      <c r="C534" s="458" t="s">
        <v>351</v>
      </c>
      <c r="D534" s="449">
        <v>38127</v>
      </c>
      <c r="E534" s="450" t="s">
        <v>245</v>
      </c>
      <c r="F534" s="467">
        <v>0.4</v>
      </c>
      <c r="G534" s="467" t="s">
        <v>321</v>
      </c>
      <c r="H534" s="468">
        <v>5</v>
      </c>
      <c r="I534" s="450">
        <v>0.4</v>
      </c>
      <c r="J534" s="450" t="s">
        <v>322</v>
      </c>
      <c r="K534" s="469">
        <v>36</v>
      </c>
      <c r="L534" s="470">
        <v>10</v>
      </c>
      <c r="M534" s="509"/>
    </row>
    <row r="535" spans="1:13" ht="12.75">
      <c r="A535" s="466" t="s">
        <v>318</v>
      </c>
      <c r="B535" s="450" t="s">
        <v>335</v>
      </c>
      <c r="C535" s="458" t="s">
        <v>351</v>
      </c>
      <c r="D535" s="449">
        <v>38273</v>
      </c>
      <c r="E535" s="450" t="s">
        <v>245</v>
      </c>
      <c r="F535" s="467">
        <v>0.07</v>
      </c>
      <c r="G535" s="467" t="s">
        <v>321</v>
      </c>
      <c r="H535" s="468">
        <v>0.5</v>
      </c>
      <c r="I535" s="450">
        <v>0.07</v>
      </c>
      <c r="J535" s="450" t="s">
        <v>322</v>
      </c>
      <c r="K535" s="469">
        <v>36</v>
      </c>
      <c r="L535" s="470">
        <v>1</v>
      </c>
      <c r="M535" s="509"/>
    </row>
    <row r="536" spans="1:13" ht="12.75">
      <c r="A536" s="466" t="s">
        <v>318</v>
      </c>
      <c r="B536" s="450" t="s">
        <v>335</v>
      </c>
      <c r="C536" s="458" t="s">
        <v>351</v>
      </c>
      <c r="D536" s="449">
        <v>38477</v>
      </c>
      <c r="E536" s="450" t="s">
        <v>245</v>
      </c>
      <c r="F536" s="467">
        <v>0.07</v>
      </c>
      <c r="G536" s="467" t="s">
        <v>321</v>
      </c>
      <c r="H536" s="468">
        <v>0.5</v>
      </c>
      <c r="I536" s="450">
        <v>0.07</v>
      </c>
      <c r="J536" s="450" t="s">
        <v>322</v>
      </c>
      <c r="K536" s="469">
        <v>36</v>
      </c>
      <c r="L536" s="470">
        <v>1</v>
      </c>
      <c r="M536" s="509"/>
    </row>
    <row r="537" spans="1:13" ht="12.75">
      <c r="A537" s="466" t="s">
        <v>318</v>
      </c>
      <c r="B537" s="450" t="s">
        <v>335</v>
      </c>
      <c r="C537" s="458" t="s">
        <v>352</v>
      </c>
      <c r="D537" s="449">
        <v>37173</v>
      </c>
      <c r="E537" s="450" t="s">
        <v>245</v>
      </c>
      <c r="F537" s="467">
        <v>0.34</v>
      </c>
      <c r="G537" s="467" t="s">
        <v>321</v>
      </c>
      <c r="H537" s="468">
        <v>0.5</v>
      </c>
      <c r="I537" s="450">
        <v>0.34</v>
      </c>
      <c r="J537" s="450" t="s">
        <v>322</v>
      </c>
      <c r="K537" s="469">
        <v>37</v>
      </c>
      <c r="L537" s="470">
        <v>1</v>
      </c>
      <c r="M537" s="509"/>
    </row>
    <row r="538" spans="1:13" ht="12.75">
      <c r="A538" s="466" t="s">
        <v>318</v>
      </c>
      <c r="B538" s="450" t="s">
        <v>335</v>
      </c>
      <c r="C538" s="458" t="s">
        <v>352</v>
      </c>
      <c r="D538" s="449">
        <v>37386</v>
      </c>
      <c r="E538" s="450" t="s">
        <v>245</v>
      </c>
      <c r="F538" s="467">
        <v>0.34</v>
      </c>
      <c r="G538" s="467" t="s">
        <v>321</v>
      </c>
      <c r="H538" s="468">
        <v>0.5</v>
      </c>
      <c r="I538" s="450">
        <v>0.34</v>
      </c>
      <c r="J538" s="450" t="s">
        <v>322</v>
      </c>
      <c r="K538" s="469">
        <v>37</v>
      </c>
      <c r="L538" s="470">
        <v>1</v>
      </c>
      <c r="M538" s="509"/>
    </row>
    <row r="539" spans="1:13" ht="12.75">
      <c r="A539" s="466" t="s">
        <v>318</v>
      </c>
      <c r="B539" s="450" t="s">
        <v>335</v>
      </c>
      <c r="C539" s="458" t="s">
        <v>352</v>
      </c>
      <c r="D539" s="449">
        <v>37537</v>
      </c>
      <c r="E539" s="450" t="s">
        <v>245</v>
      </c>
      <c r="F539" s="467">
        <v>0.3</v>
      </c>
      <c r="G539" s="467" t="s">
        <v>321</v>
      </c>
      <c r="H539" s="468">
        <v>0.5</v>
      </c>
      <c r="I539" s="450">
        <v>0.3</v>
      </c>
      <c r="J539" s="450" t="s">
        <v>322</v>
      </c>
      <c r="K539" s="469">
        <v>37</v>
      </c>
      <c r="L539" s="470">
        <v>1</v>
      </c>
      <c r="M539" s="509"/>
    </row>
    <row r="540" spans="1:13" ht="12.75">
      <c r="A540" s="466" t="s">
        <v>318</v>
      </c>
      <c r="B540" s="450" t="s">
        <v>335</v>
      </c>
      <c r="C540" s="458" t="s">
        <v>352</v>
      </c>
      <c r="D540" s="449">
        <v>37743</v>
      </c>
      <c r="E540" s="450" t="s">
        <v>245</v>
      </c>
      <c r="F540" s="467">
        <v>0.3</v>
      </c>
      <c r="G540" s="467" t="s">
        <v>321</v>
      </c>
      <c r="H540" s="468">
        <v>0.5</v>
      </c>
      <c r="I540" s="450">
        <v>0.3</v>
      </c>
      <c r="J540" s="450" t="s">
        <v>322</v>
      </c>
      <c r="K540" s="469">
        <v>37</v>
      </c>
      <c r="L540" s="470">
        <v>1</v>
      </c>
      <c r="M540" s="509"/>
    </row>
    <row r="541" spans="1:13" ht="12.75">
      <c r="A541" s="466" t="s">
        <v>318</v>
      </c>
      <c r="B541" s="450" t="s">
        <v>335</v>
      </c>
      <c r="C541" s="458" t="s">
        <v>352</v>
      </c>
      <c r="D541" s="449">
        <v>37897</v>
      </c>
      <c r="E541" s="450" t="s">
        <v>245</v>
      </c>
      <c r="F541" s="467">
        <v>0.3</v>
      </c>
      <c r="G541" s="467" t="s">
        <v>321</v>
      </c>
      <c r="H541" s="468">
        <v>0.5</v>
      </c>
      <c r="I541" s="450">
        <v>0.3</v>
      </c>
      <c r="J541" s="450" t="s">
        <v>322</v>
      </c>
      <c r="K541" s="469">
        <v>37</v>
      </c>
      <c r="L541" s="470">
        <v>1</v>
      </c>
      <c r="M541" s="509"/>
    </row>
    <row r="542" spans="1:13" ht="12.75">
      <c r="A542" s="466" t="s">
        <v>318</v>
      </c>
      <c r="B542" s="450" t="s">
        <v>335</v>
      </c>
      <c r="C542" s="458" t="s">
        <v>352</v>
      </c>
      <c r="D542" s="449">
        <v>38127</v>
      </c>
      <c r="E542" s="450" t="s">
        <v>245</v>
      </c>
      <c r="F542" s="467">
        <v>0.3</v>
      </c>
      <c r="G542" s="467" t="s">
        <v>321</v>
      </c>
      <c r="H542" s="468">
        <v>5</v>
      </c>
      <c r="I542" s="450">
        <v>0.3</v>
      </c>
      <c r="J542" s="450" t="s">
        <v>322</v>
      </c>
      <c r="K542" s="469">
        <v>37</v>
      </c>
      <c r="L542" s="470">
        <v>10</v>
      </c>
      <c r="M542" s="509"/>
    </row>
    <row r="543" spans="1:13" ht="12.75">
      <c r="A543" s="466" t="s">
        <v>318</v>
      </c>
      <c r="B543" s="450" t="s">
        <v>335</v>
      </c>
      <c r="C543" s="458" t="s">
        <v>352</v>
      </c>
      <c r="D543" s="449">
        <v>38273</v>
      </c>
      <c r="E543" s="450" t="s">
        <v>245</v>
      </c>
      <c r="F543" s="467">
        <v>0.06</v>
      </c>
      <c r="G543" s="467" t="s">
        <v>321</v>
      </c>
      <c r="H543" s="468">
        <v>0.5</v>
      </c>
      <c r="I543" s="450">
        <v>0.06</v>
      </c>
      <c r="J543" s="450" t="s">
        <v>322</v>
      </c>
      <c r="K543" s="469">
        <v>37</v>
      </c>
      <c r="L543" s="470">
        <v>1</v>
      </c>
      <c r="M543" s="509"/>
    </row>
    <row r="544" spans="1:13" ht="12.75">
      <c r="A544" s="466" t="s">
        <v>318</v>
      </c>
      <c r="B544" s="450" t="s">
        <v>335</v>
      </c>
      <c r="C544" s="458" t="s">
        <v>352</v>
      </c>
      <c r="D544" s="449">
        <v>38477</v>
      </c>
      <c r="E544" s="450" t="s">
        <v>245</v>
      </c>
      <c r="F544" s="467">
        <v>0.06</v>
      </c>
      <c r="G544" s="467" t="s">
        <v>321</v>
      </c>
      <c r="H544" s="468">
        <v>0.5</v>
      </c>
      <c r="I544" s="450">
        <v>0.06</v>
      </c>
      <c r="J544" s="450" t="s">
        <v>322</v>
      </c>
      <c r="K544" s="469">
        <v>37</v>
      </c>
      <c r="L544" s="470">
        <v>1</v>
      </c>
      <c r="M544" s="509"/>
    </row>
    <row r="545" spans="1:13" ht="12.75">
      <c r="A545" s="466" t="s">
        <v>318</v>
      </c>
      <c r="B545" s="450" t="s">
        <v>335</v>
      </c>
      <c r="C545" s="458" t="s">
        <v>353</v>
      </c>
      <c r="D545" s="449">
        <v>37173</v>
      </c>
      <c r="E545" s="450" t="s">
        <v>245</v>
      </c>
      <c r="F545" s="467">
        <v>0.32</v>
      </c>
      <c r="G545" s="467" t="s">
        <v>321</v>
      </c>
      <c r="H545" s="468">
        <v>0.5</v>
      </c>
      <c r="I545" s="450">
        <v>0.32</v>
      </c>
      <c r="J545" s="450" t="s">
        <v>322</v>
      </c>
      <c r="K545" s="469">
        <v>38</v>
      </c>
      <c r="L545" s="470">
        <v>1</v>
      </c>
      <c r="M545" s="509"/>
    </row>
    <row r="546" spans="1:13" ht="12.75">
      <c r="A546" s="466" t="s">
        <v>318</v>
      </c>
      <c r="B546" s="450" t="s">
        <v>335</v>
      </c>
      <c r="C546" s="458" t="s">
        <v>353</v>
      </c>
      <c r="D546" s="449">
        <v>37386</v>
      </c>
      <c r="E546" s="450" t="s">
        <v>245</v>
      </c>
      <c r="F546" s="467">
        <v>0.32</v>
      </c>
      <c r="G546" s="467" t="s">
        <v>321</v>
      </c>
      <c r="H546" s="468">
        <v>0.5</v>
      </c>
      <c r="I546" s="450">
        <v>0.32</v>
      </c>
      <c r="J546" s="450" t="s">
        <v>322</v>
      </c>
      <c r="K546" s="469">
        <v>38</v>
      </c>
      <c r="L546" s="470">
        <v>1</v>
      </c>
      <c r="M546" s="509"/>
    </row>
    <row r="547" spans="1:13" ht="12.75">
      <c r="A547" s="466" t="s">
        <v>318</v>
      </c>
      <c r="B547" s="450" t="s">
        <v>335</v>
      </c>
      <c r="C547" s="458" t="s">
        <v>353</v>
      </c>
      <c r="D547" s="449">
        <v>37537</v>
      </c>
      <c r="E547" s="450" t="s">
        <v>245</v>
      </c>
      <c r="F547" s="467">
        <v>0.44</v>
      </c>
      <c r="G547" s="467" t="s">
        <v>321</v>
      </c>
      <c r="H547" s="468">
        <v>0.5</v>
      </c>
      <c r="I547" s="450">
        <v>0.44</v>
      </c>
      <c r="J547" s="450" t="s">
        <v>322</v>
      </c>
      <c r="K547" s="469">
        <v>38</v>
      </c>
      <c r="L547" s="470">
        <v>1</v>
      </c>
      <c r="M547" s="509"/>
    </row>
    <row r="548" spans="1:13" ht="12.75">
      <c r="A548" s="466" t="s">
        <v>318</v>
      </c>
      <c r="B548" s="450" t="s">
        <v>335</v>
      </c>
      <c r="C548" s="458" t="s">
        <v>353</v>
      </c>
      <c r="D548" s="449">
        <v>37743</v>
      </c>
      <c r="E548" s="450" t="s">
        <v>245</v>
      </c>
      <c r="F548" s="467">
        <v>0.44</v>
      </c>
      <c r="G548" s="467" t="s">
        <v>321</v>
      </c>
      <c r="H548" s="468">
        <v>0.5</v>
      </c>
      <c r="I548" s="450">
        <v>0.44</v>
      </c>
      <c r="J548" s="450" t="s">
        <v>322</v>
      </c>
      <c r="K548" s="469">
        <v>38</v>
      </c>
      <c r="L548" s="470">
        <v>1</v>
      </c>
      <c r="M548" s="509"/>
    </row>
    <row r="549" spans="1:13" ht="12.75">
      <c r="A549" s="466" t="s">
        <v>318</v>
      </c>
      <c r="B549" s="450" t="s">
        <v>335</v>
      </c>
      <c r="C549" s="458" t="s">
        <v>353</v>
      </c>
      <c r="D549" s="449">
        <v>37897</v>
      </c>
      <c r="E549" s="450" t="s">
        <v>245</v>
      </c>
      <c r="F549" s="467">
        <v>0.44</v>
      </c>
      <c r="G549" s="467" t="s">
        <v>321</v>
      </c>
      <c r="H549" s="468">
        <v>0.5</v>
      </c>
      <c r="I549" s="450">
        <v>0.44</v>
      </c>
      <c r="J549" s="450" t="s">
        <v>322</v>
      </c>
      <c r="K549" s="469">
        <v>38</v>
      </c>
      <c r="L549" s="470">
        <v>1</v>
      </c>
      <c r="M549" s="509"/>
    </row>
    <row r="550" spans="1:13" ht="12.75">
      <c r="A550" s="466" t="s">
        <v>318</v>
      </c>
      <c r="B550" s="450" t="s">
        <v>335</v>
      </c>
      <c r="C550" s="458" t="s">
        <v>353</v>
      </c>
      <c r="D550" s="449">
        <v>38127</v>
      </c>
      <c r="E550" s="450" t="s">
        <v>245</v>
      </c>
      <c r="F550" s="467">
        <v>0.44</v>
      </c>
      <c r="G550" s="467" t="s">
        <v>321</v>
      </c>
      <c r="H550" s="468">
        <v>5</v>
      </c>
      <c r="I550" s="450">
        <v>0.44</v>
      </c>
      <c r="J550" s="450" t="s">
        <v>322</v>
      </c>
      <c r="K550" s="469">
        <v>38</v>
      </c>
      <c r="L550" s="470">
        <v>10</v>
      </c>
      <c r="M550" s="509"/>
    </row>
    <row r="551" spans="1:13" ht="12.75">
      <c r="A551" s="466" t="s">
        <v>318</v>
      </c>
      <c r="B551" s="450" t="s">
        <v>335</v>
      </c>
      <c r="C551" s="458" t="s">
        <v>353</v>
      </c>
      <c r="D551" s="449">
        <v>38273</v>
      </c>
      <c r="E551" s="450" t="s">
        <v>245</v>
      </c>
      <c r="F551" s="467">
        <v>0.06</v>
      </c>
      <c r="G551" s="467" t="s">
        <v>321</v>
      </c>
      <c r="H551" s="468">
        <v>0.5</v>
      </c>
      <c r="I551" s="450">
        <v>0.06</v>
      </c>
      <c r="J551" s="450" t="s">
        <v>322</v>
      </c>
      <c r="K551" s="469">
        <v>38</v>
      </c>
      <c r="L551" s="470">
        <v>1</v>
      </c>
      <c r="M551" s="509"/>
    </row>
    <row r="552" spans="1:13" ht="12.75">
      <c r="A552" s="466" t="s">
        <v>318</v>
      </c>
      <c r="B552" s="450" t="s">
        <v>335</v>
      </c>
      <c r="C552" s="458" t="s">
        <v>353</v>
      </c>
      <c r="D552" s="449">
        <v>38477</v>
      </c>
      <c r="E552" s="450" t="s">
        <v>245</v>
      </c>
      <c r="F552" s="467">
        <v>0.06</v>
      </c>
      <c r="G552" s="467" t="s">
        <v>321</v>
      </c>
      <c r="H552" s="468">
        <v>0.5</v>
      </c>
      <c r="I552" s="450">
        <v>0.06</v>
      </c>
      <c r="J552" s="450" t="s">
        <v>322</v>
      </c>
      <c r="K552" s="469">
        <v>38</v>
      </c>
      <c r="L552" s="470">
        <v>1</v>
      </c>
      <c r="M552" s="509"/>
    </row>
    <row r="553" spans="1:13" ht="12.75">
      <c r="A553" s="466" t="s">
        <v>318</v>
      </c>
      <c r="B553" s="450" t="s">
        <v>335</v>
      </c>
      <c r="C553" s="458" t="s">
        <v>71</v>
      </c>
      <c r="D553" s="449">
        <v>37173</v>
      </c>
      <c r="E553" s="450" t="s">
        <v>245</v>
      </c>
      <c r="F553" s="467">
        <v>0.25</v>
      </c>
      <c r="G553" s="467" t="s">
        <v>321</v>
      </c>
      <c r="H553" s="468">
        <v>0.5</v>
      </c>
      <c r="I553" s="450">
        <v>0.25</v>
      </c>
      <c r="J553" s="450" t="s">
        <v>322</v>
      </c>
      <c r="K553" s="469">
        <v>39</v>
      </c>
      <c r="L553" s="470">
        <v>1</v>
      </c>
      <c r="M553" s="509"/>
    </row>
    <row r="554" spans="1:13" ht="12.75">
      <c r="A554" s="466" t="s">
        <v>318</v>
      </c>
      <c r="B554" s="450" t="s">
        <v>335</v>
      </c>
      <c r="C554" s="458" t="s">
        <v>71</v>
      </c>
      <c r="D554" s="449">
        <v>37386</v>
      </c>
      <c r="E554" s="450" t="s">
        <v>259</v>
      </c>
      <c r="F554" s="467">
        <v>0.4</v>
      </c>
      <c r="G554" s="467" t="s">
        <v>321</v>
      </c>
      <c r="H554" s="468">
        <v>0.5</v>
      </c>
      <c r="I554" s="450">
        <v>0.25</v>
      </c>
      <c r="J554" s="450" t="s">
        <v>322</v>
      </c>
      <c r="K554" s="469">
        <v>39</v>
      </c>
      <c r="L554" s="470">
        <v>1</v>
      </c>
      <c r="M554" s="509"/>
    </row>
    <row r="555" spans="1:13" ht="12.75">
      <c r="A555" s="466" t="s">
        <v>318</v>
      </c>
      <c r="B555" s="450" t="s">
        <v>335</v>
      </c>
      <c r="C555" s="458" t="s">
        <v>71</v>
      </c>
      <c r="D555" s="449">
        <v>37537</v>
      </c>
      <c r="E555" s="450" t="s">
        <v>245</v>
      </c>
      <c r="F555" s="467">
        <v>0.32</v>
      </c>
      <c r="G555" s="467" t="s">
        <v>321</v>
      </c>
      <c r="H555" s="468">
        <v>0.5</v>
      </c>
      <c r="I555" s="450">
        <v>0.32</v>
      </c>
      <c r="J555" s="450" t="s">
        <v>322</v>
      </c>
      <c r="K555" s="469">
        <v>39</v>
      </c>
      <c r="L555" s="470">
        <v>1</v>
      </c>
      <c r="M555" s="509"/>
    </row>
    <row r="556" spans="1:13" ht="12.75">
      <c r="A556" s="466" t="s">
        <v>318</v>
      </c>
      <c r="B556" s="450" t="s">
        <v>335</v>
      </c>
      <c r="C556" s="458" t="s">
        <v>71</v>
      </c>
      <c r="D556" s="449">
        <v>37743</v>
      </c>
      <c r="E556" s="450" t="s">
        <v>245</v>
      </c>
      <c r="F556" s="467">
        <v>0.32</v>
      </c>
      <c r="G556" s="467" t="s">
        <v>321</v>
      </c>
      <c r="H556" s="468">
        <v>0.5</v>
      </c>
      <c r="I556" s="450">
        <v>0.32</v>
      </c>
      <c r="J556" s="450" t="s">
        <v>322</v>
      </c>
      <c r="K556" s="469">
        <v>39</v>
      </c>
      <c r="L556" s="470">
        <v>1</v>
      </c>
      <c r="M556" s="509"/>
    </row>
    <row r="557" spans="1:13" ht="12.75">
      <c r="A557" s="466" t="s">
        <v>318</v>
      </c>
      <c r="B557" s="450" t="s">
        <v>335</v>
      </c>
      <c r="C557" s="458" t="s">
        <v>71</v>
      </c>
      <c r="D557" s="449">
        <v>37897</v>
      </c>
      <c r="E557" s="450" t="s">
        <v>245</v>
      </c>
      <c r="F557" s="467">
        <v>0.32</v>
      </c>
      <c r="G557" s="467" t="s">
        <v>321</v>
      </c>
      <c r="H557" s="468">
        <v>0.5</v>
      </c>
      <c r="I557" s="450">
        <v>0.32</v>
      </c>
      <c r="J557" s="450" t="s">
        <v>322</v>
      </c>
      <c r="K557" s="469">
        <v>39</v>
      </c>
      <c r="L557" s="470">
        <v>1</v>
      </c>
      <c r="M557" s="509"/>
    </row>
    <row r="558" spans="1:13" ht="12.75">
      <c r="A558" s="466" t="s">
        <v>318</v>
      </c>
      <c r="B558" s="450" t="s">
        <v>335</v>
      </c>
      <c r="C558" s="458" t="s">
        <v>71</v>
      </c>
      <c r="D558" s="449">
        <v>38127</v>
      </c>
      <c r="E558" s="450" t="s">
        <v>245</v>
      </c>
      <c r="F558" s="467">
        <v>0.32</v>
      </c>
      <c r="G558" s="467" t="s">
        <v>321</v>
      </c>
      <c r="H558" s="468">
        <v>5</v>
      </c>
      <c r="I558" s="450">
        <v>0.32</v>
      </c>
      <c r="J558" s="450" t="s">
        <v>322</v>
      </c>
      <c r="K558" s="469">
        <v>39</v>
      </c>
      <c r="L558" s="470">
        <v>10</v>
      </c>
      <c r="M558" s="509"/>
    </row>
    <row r="559" spans="1:13" ht="12.75">
      <c r="A559" s="466" t="s">
        <v>318</v>
      </c>
      <c r="B559" s="450" t="s">
        <v>335</v>
      </c>
      <c r="C559" s="458" t="s">
        <v>71</v>
      </c>
      <c r="D559" s="449">
        <v>38273</v>
      </c>
      <c r="E559" s="450" t="s">
        <v>245</v>
      </c>
      <c r="F559" s="467">
        <v>0.06</v>
      </c>
      <c r="G559" s="467" t="s">
        <v>321</v>
      </c>
      <c r="H559" s="468">
        <v>0.5</v>
      </c>
      <c r="I559" s="450">
        <v>0.06</v>
      </c>
      <c r="J559" s="450" t="s">
        <v>322</v>
      </c>
      <c r="K559" s="469">
        <v>39</v>
      </c>
      <c r="L559" s="470">
        <v>1</v>
      </c>
      <c r="M559" s="509"/>
    </row>
    <row r="560" spans="1:13" ht="12.75">
      <c r="A560" s="466" t="s">
        <v>318</v>
      </c>
      <c r="B560" s="450" t="s">
        <v>335</v>
      </c>
      <c r="C560" s="458" t="s">
        <v>71</v>
      </c>
      <c r="D560" s="449">
        <v>38477</v>
      </c>
      <c r="E560" s="450" t="s">
        <v>259</v>
      </c>
      <c r="F560" s="467">
        <v>0.5</v>
      </c>
      <c r="G560" s="467" t="s">
        <v>321</v>
      </c>
      <c r="H560" s="468">
        <v>0.5</v>
      </c>
      <c r="I560" s="450">
        <v>0.06</v>
      </c>
      <c r="J560" s="450" t="s">
        <v>322</v>
      </c>
      <c r="K560" s="469">
        <v>39</v>
      </c>
      <c r="L560" s="470">
        <v>1</v>
      </c>
      <c r="M560" s="509"/>
    </row>
    <row r="561" spans="1:13" ht="12.75">
      <c r="A561" s="466" t="s">
        <v>318</v>
      </c>
      <c r="B561" s="450" t="s">
        <v>335</v>
      </c>
      <c r="C561" s="458" t="s">
        <v>354</v>
      </c>
      <c r="D561" s="449">
        <v>37173</v>
      </c>
      <c r="E561" s="450" t="s">
        <v>245</v>
      </c>
      <c r="F561" s="467">
        <v>0.3</v>
      </c>
      <c r="G561" s="467" t="s">
        <v>321</v>
      </c>
      <c r="H561" s="468">
        <v>0.5</v>
      </c>
      <c r="I561" s="450">
        <v>0.3</v>
      </c>
      <c r="J561" s="450" t="s">
        <v>322</v>
      </c>
      <c r="K561" s="469">
        <v>40</v>
      </c>
      <c r="L561" s="470">
        <v>1</v>
      </c>
      <c r="M561" s="509"/>
    </row>
    <row r="562" spans="1:13" ht="12.75">
      <c r="A562" s="466" t="s">
        <v>318</v>
      </c>
      <c r="B562" s="450" t="s">
        <v>335</v>
      </c>
      <c r="C562" s="458" t="s">
        <v>354</v>
      </c>
      <c r="D562" s="449">
        <v>37386</v>
      </c>
      <c r="E562" s="450" t="s">
        <v>245</v>
      </c>
      <c r="F562" s="467">
        <v>0.3</v>
      </c>
      <c r="G562" s="467" t="s">
        <v>321</v>
      </c>
      <c r="H562" s="468">
        <v>0.5</v>
      </c>
      <c r="I562" s="450">
        <v>0.3</v>
      </c>
      <c r="J562" s="450" t="s">
        <v>322</v>
      </c>
      <c r="K562" s="469">
        <v>40</v>
      </c>
      <c r="L562" s="470">
        <v>1</v>
      </c>
      <c r="M562" s="509"/>
    </row>
    <row r="563" spans="1:13" ht="12.75">
      <c r="A563" s="466" t="s">
        <v>318</v>
      </c>
      <c r="B563" s="450" t="s">
        <v>335</v>
      </c>
      <c r="C563" s="458" t="s">
        <v>354</v>
      </c>
      <c r="D563" s="449">
        <v>37537</v>
      </c>
      <c r="E563" s="450" t="s">
        <v>245</v>
      </c>
      <c r="F563" s="467">
        <v>0.43</v>
      </c>
      <c r="G563" s="467" t="s">
        <v>321</v>
      </c>
      <c r="H563" s="468">
        <v>0.5</v>
      </c>
      <c r="I563" s="450">
        <v>0.43</v>
      </c>
      <c r="J563" s="450" t="s">
        <v>322</v>
      </c>
      <c r="K563" s="469">
        <v>40</v>
      </c>
      <c r="L563" s="470">
        <v>1</v>
      </c>
      <c r="M563" s="509"/>
    </row>
    <row r="564" spans="1:13" ht="12.75">
      <c r="A564" s="466" t="s">
        <v>318</v>
      </c>
      <c r="B564" s="450" t="s">
        <v>335</v>
      </c>
      <c r="C564" s="458" t="s">
        <v>354</v>
      </c>
      <c r="D564" s="449">
        <v>37743</v>
      </c>
      <c r="E564" s="450" t="s">
        <v>245</v>
      </c>
      <c r="F564" s="467">
        <v>0.43</v>
      </c>
      <c r="G564" s="467" t="s">
        <v>321</v>
      </c>
      <c r="H564" s="468">
        <v>0.5</v>
      </c>
      <c r="I564" s="450">
        <v>0.43</v>
      </c>
      <c r="J564" s="450" t="s">
        <v>322</v>
      </c>
      <c r="K564" s="469">
        <v>40</v>
      </c>
      <c r="L564" s="470">
        <v>1</v>
      </c>
      <c r="M564" s="509"/>
    </row>
    <row r="565" spans="1:13" ht="12.75">
      <c r="A565" s="466" t="s">
        <v>318</v>
      </c>
      <c r="B565" s="450" t="s">
        <v>335</v>
      </c>
      <c r="C565" s="458" t="s">
        <v>354</v>
      </c>
      <c r="D565" s="449">
        <v>37897</v>
      </c>
      <c r="E565" s="450" t="s">
        <v>245</v>
      </c>
      <c r="F565" s="467">
        <v>0.43</v>
      </c>
      <c r="G565" s="467" t="s">
        <v>321</v>
      </c>
      <c r="H565" s="468">
        <v>0.5</v>
      </c>
      <c r="I565" s="450">
        <v>0.43</v>
      </c>
      <c r="J565" s="450" t="s">
        <v>322</v>
      </c>
      <c r="K565" s="469">
        <v>40</v>
      </c>
      <c r="L565" s="470">
        <v>1</v>
      </c>
      <c r="M565" s="509"/>
    </row>
    <row r="566" spans="1:13" ht="12.75">
      <c r="A566" s="466" t="s">
        <v>318</v>
      </c>
      <c r="B566" s="450" t="s">
        <v>335</v>
      </c>
      <c r="C566" s="458" t="s">
        <v>354</v>
      </c>
      <c r="D566" s="449">
        <v>38127</v>
      </c>
      <c r="E566" s="450" t="s">
        <v>245</v>
      </c>
      <c r="F566" s="467">
        <v>0.43</v>
      </c>
      <c r="G566" s="467" t="s">
        <v>321</v>
      </c>
      <c r="H566" s="468">
        <v>5</v>
      </c>
      <c r="I566" s="450">
        <v>0.43</v>
      </c>
      <c r="J566" s="450" t="s">
        <v>322</v>
      </c>
      <c r="K566" s="469">
        <v>40</v>
      </c>
      <c r="L566" s="470">
        <v>10</v>
      </c>
      <c r="M566" s="509"/>
    </row>
    <row r="567" spans="1:13" ht="12.75">
      <c r="A567" s="466" t="s">
        <v>318</v>
      </c>
      <c r="B567" s="450" t="s">
        <v>335</v>
      </c>
      <c r="C567" s="458" t="s">
        <v>354</v>
      </c>
      <c r="D567" s="449">
        <v>38273</v>
      </c>
      <c r="E567" s="450" t="s">
        <v>245</v>
      </c>
      <c r="F567" s="467">
        <v>0.05</v>
      </c>
      <c r="G567" s="467" t="s">
        <v>321</v>
      </c>
      <c r="H567" s="468">
        <v>0.5</v>
      </c>
      <c r="I567" s="450">
        <v>0.05</v>
      </c>
      <c r="J567" s="450" t="s">
        <v>322</v>
      </c>
      <c r="K567" s="469">
        <v>40</v>
      </c>
      <c r="L567" s="470">
        <v>1</v>
      </c>
      <c r="M567" s="509"/>
    </row>
    <row r="568" spans="1:13" ht="12.75">
      <c r="A568" s="466" t="s">
        <v>318</v>
      </c>
      <c r="B568" s="450" t="s">
        <v>335</v>
      </c>
      <c r="C568" s="458" t="s">
        <v>354</v>
      </c>
      <c r="D568" s="449">
        <v>38477</v>
      </c>
      <c r="E568" s="450" t="s">
        <v>245</v>
      </c>
      <c r="F568" s="467">
        <v>0.05</v>
      </c>
      <c r="G568" s="467" t="s">
        <v>321</v>
      </c>
      <c r="H568" s="468">
        <v>0.5</v>
      </c>
      <c r="I568" s="450">
        <v>0.05</v>
      </c>
      <c r="J568" s="450" t="s">
        <v>322</v>
      </c>
      <c r="K568" s="469">
        <v>40</v>
      </c>
      <c r="L568" s="470">
        <v>1</v>
      </c>
      <c r="M568" s="509"/>
    </row>
    <row r="569" spans="1:13" ht="12.75">
      <c r="A569" s="466" t="s">
        <v>318</v>
      </c>
      <c r="B569" s="450" t="s">
        <v>335</v>
      </c>
      <c r="C569" s="458" t="s">
        <v>355</v>
      </c>
      <c r="D569" s="449">
        <v>37173</v>
      </c>
      <c r="E569" s="450" t="s">
        <v>245</v>
      </c>
      <c r="F569" s="467">
        <v>0.35</v>
      </c>
      <c r="G569" s="467" t="s">
        <v>321</v>
      </c>
      <c r="H569" s="468">
        <v>0.5</v>
      </c>
      <c r="I569" s="450">
        <v>0.35</v>
      </c>
      <c r="J569" s="450" t="s">
        <v>322</v>
      </c>
      <c r="K569" s="469">
        <v>41</v>
      </c>
      <c r="L569" s="470">
        <v>1</v>
      </c>
      <c r="M569" s="509"/>
    </row>
    <row r="570" spans="1:13" ht="12.75">
      <c r="A570" s="466" t="s">
        <v>318</v>
      </c>
      <c r="B570" s="450" t="s">
        <v>335</v>
      </c>
      <c r="C570" s="458" t="s">
        <v>355</v>
      </c>
      <c r="D570" s="449">
        <v>37386</v>
      </c>
      <c r="E570" s="450" t="s">
        <v>245</v>
      </c>
      <c r="F570" s="467">
        <v>0.35</v>
      </c>
      <c r="G570" s="467" t="s">
        <v>321</v>
      </c>
      <c r="H570" s="468">
        <v>0.5</v>
      </c>
      <c r="I570" s="450">
        <v>0.35</v>
      </c>
      <c r="J570" s="450" t="s">
        <v>322</v>
      </c>
      <c r="K570" s="469">
        <v>41</v>
      </c>
      <c r="L570" s="470">
        <v>1</v>
      </c>
      <c r="M570" s="509"/>
    </row>
    <row r="571" spans="1:13" ht="12.75">
      <c r="A571" s="466" t="s">
        <v>318</v>
      </c>
      <c r="B571" s="450" t="s">
        <v>335</v>
      </c>
      <c r="C571" s="458" t="s">
        <v>355</v>
      </c>
      <c r="D571" s="449">
        <v>37537</v>
      </c>
      <c r="E571" s="450" t="s">
        <v>245</v>
      </c>
      <c r="F571" s="467">
        <v>0.49</v>
      </c>
      <c r="G571" s="467" t="s">
        <v>321</v>
      </c>
      <c r="H571" s="468">
        <v>0.5</v>
      </c>
      <c r="I571" s="450">
        <v>0.49</v>
      </c>
      <c r="J571" s="450" t="s">
        <v>322</v>
      </c>
      <c r="K571" s="469">
        <v>41</v>
      </c>
      <c r="L571" s="470">
        <v>1</v>
      </c>
      <c r="M571" s="509"/>
    </row>
    <row r="572" spans="1:13" ht="12.75">
      <c r="A572" s="466" t="s">
        <v>318</v>
      </c>
      <c r="B572" s="450" t="s">
        <v>335</v>
      </c>
      <c r="C572" s="458" t="s">
        <v>355</v>
      </c>
      <c r="D572" s="449">
        <v>37743</v>
      </c>
      <c r="E572" s="450" t="s">
        <v>245</v>
      </c>
      <c r="F572" s="467">
        <v>0.49</v>
      </c>
      <c r="G572" s="467" t="s">
        <v>321</v>
      </c>
      <c r="H572" s="468">
        <v>0.5</v>
      </c>
      <c r="I572" s="450">
        <v>0.49</v>
      </c>
      <c r="J572" s="450" t="s">
        <v>322</v>
      </c>
      <c r="K572" s="469">
        <v>41</v>
      </c>
      <c r="L572" s="470">
        <v>1</v>
      </c>
      <c r="M572" s="509"/>
    </row>
    <row r="573" spans="1:13" ht="12.75">
      <c r="A573" s="466" t="s">
        <v>318</v>
      </c>
      <c r="B573" s="450" t="s">
        <v>335</v>
      </c>
      <c r="C573" s="458" t="s">
        <v>355</v>
      </c>
      <c r="D573" s="449">
        <v>37897</v>
      </c>
      <c r="E573" s="450" t="s">
        <v>245</v>
      </c>
      <c r="F573" s="467">
        <v>0.49</v>
      </c>
      <c r="G573" s="467" t="s">
        <v>321</v>
      </c>
      <c r="H573" s="468">
        <v>0.5</v>
      </c>
      <c r="I573" s="450">
        <v>0.49</v>
      </c>
      <c r="J573" s="450" t="s">
        <v>322</v>
      </c>
      <c r="K573" s="469">
        <v>41</v>
      </c>
      <c r="L573" s="470">
        <v>1</v>
      </c>
      <c r="M573" s="509"/>
    </row>
    <row r="574" spans="1:13" ht="12.75">
      <c r="A574" s="466" t="s">
        <v>318</v>
      </c>
      <c r="B574" s="450" t="s">
        <v>335</v>
      </c>
      <c r="C574" s="458" t="s">
        <v>355</v>
      </c>
      <c r="D574" s="449">
        <v>38127</v>
      </c>
      <c r="E574" s="450" t="s">
        <v>245</v>
      </c>
      <c r="F574" s="467">
        <v>0.49</v>
      </c>
      <c r="G574" s="467" t="s">
        <v>321</v>
      </c>
      <c r="H574" s="468">
        <v>5</v>
      </c>
      <c r="I574" s="450">
        <v>0.49</v>
      </c>
      <c r="J574" s="450" t="s">
        <v>322</v>
      </c>
      <c r="K574" s="469">
        <v>41</v>
      </c>
      <c r="L574" s="470">
        <v>10</v>
      </c>
      <c r="M574" s="509"/>
    </row>
    <row r="575" spans="1:13" ht="12.75">
      <c r="A575" s="466" t="s">
        <v>318</v>
      </c>
      <c r="B575" s="450" t="s">
        <v>335</v>
      </c>
      <c r="C575" s="458" t="s">
        <v>355</v>
      </c>
      <c r="D575" s="449">
        <v>38273</v>
      </c>
      <c r="E575" s="450" t="s">
        <v>245</v>
      </c>
      <c r="F575" s="467">
        <v>0.06</v>
      </c>
      <c r="G575" s="467" t="s">
        <v>321</v>
      </c>
      <c r="H575" s="468">
        <v>0.5</v>
      </c>
      <c r="I575" s="450">
        <v>0.06</v>
      </c>
      <c r="J575" s="450" t="s">
        <v>322</v>
      </c>
      <c r="K575" s="469">
        <v>41</v>
      </c>
      <c r="L575" s="470">
        <v>1</v>
      </c>
      <c r="M575" s="509"/>
    </row>
    <row r="576" spans="1:13" ht="12.75">
      <c r="A576" s="466" t="s">
        <v>318</v>
      </c>
      <c r="B576" s="450" t="s">
        <v>335</v>
      </c>
      <c r="C576" s="458" t="s">
        <v>355</v>
      </c>
      <c r="D576" s="449">
        <v>38477</v>
      </c>
      <c r="E576" s="450" t="s">
        <v>245</v>
      </c>
      <c r="F576" s="467">
        <v>0.06</v>
      </c>
      <c r="G576" s="467" t="s">
        <v>321</v>
      </c>
      <c r="H576" s="468">
        <v>0.5</v>
      </c>
      <c r="I576" s="450">
        <v>0.06</v>
      </c>
      <c r="J576" s="450" t="s">
        <v>322</v>
      </c>
      <c r="K576" s="469">
        <v>41</v>
      </c>
      <c r="L576" s="470">
        <v>1</v>
      </c>
      <c r="M576" s="509"/>
    </row>
    <row r="577" spans="1:13" ht="12.75">
      <c r="A577" s="466" t="s">
        <v>318</v>
      </c>
      <c r="B577" s="450" t="s">
        <v>335</v>
      </c>
      <c r="C577" s="458" t="s">
        <v>356</v>
      </c>
      <c r="D577" s="449">
        <v>37173</v>
      </c>
      <c r="E577" s="450" t="s">
        <v>245</v>
      </c>
      <c r="F577" s="467">
        <v>0.27</v>
      </c>
      <c r="G577" s="467" t="s">
        <v>321</v>
      </c>
      <c r="H577" s="468">
        <v>0.5</v>
      </c>
      <c r="I577" s="450">
        <v>0.27</v>
      </c>
      <c r="J577" s="450" t="s">
        <v>322</v>
      </c>
      <c r="K577" s="469">
        <v>42</v>
      </c>
      <c r="L577" s="470">
        <v>1</v>
      </c>
      <c r="M577" s="509"/>
    </row>
    <row r="578" spans="1:13" ht="12.75">
      <c r="A578" s="466" t="s">
        <v>318</v>
      </c>
      <c r="B578" s="450" t="s">
        <v>335</v>
      </c>
      <c r="C578" s="458" t="s">
        <v>356</v>
      </c>
      <c r="D578" s="449">
        <v>37386</v>
      </c>
      <c r="E578" s="450" t="s">
        <v>245</v>
      </c>
      <c r="F578" s="467">
        <v>0.27</v>
      </c>
      <c r="G578" s="467" t="s">
        <v>321</v>
      </c>
      <c r="H578" s="468">
        <v>0.5</v>
      </c>
      <c r="I578" s="450">
        <v>0.27</v>
      </c>
      <c r="J578" s="450" t="s">
        <v>322</v>
      </c>
      <c r="K578" s="469">
        <v>42</v>
      </c>
      <c r="L578" s="470">
        <v>1</v>
      </c>
      <c r="M578" s="509"/>
    </row>
    <row r="579" spans="1:13" ht="12.75">
      <c r="A579" s="466" t="s">
        <v>318</v>
      </c>
      <c r="B579" s="450" t="s">
        <v>335</v>
      </c>
      <c r="C579" s="458" t="s">
        <v>356</v>
      </c>
      <c r="D579" s="449">
        <v>37537</v>
      </c>
      <c r="E579" s="450" t="s">
        <v>245</v>
      </c>
      <c r="F579" s="467">
        <v>0.3</v>
      </c>
      <c r="G579" s="467" t="s">
        <v>321</v>
      </c>
      <c r="H579" s="468">
        <v>0.5</v>
      </c>
      <c r="I579" s="450">
        <v>0.3</v>
      </c>
      <c r="J579" s="450" t="s">
        <v>322</v>
      </c>
      <c r="K579" s="469">
        <v>42</v>
      </c>
      <c r="L579" s="470">
        <v>1</v>
      </c>
      <c r="M579" s="509"/>
    </row>
    <row r="580" spans="1:13" ht="12.75">
      <c r="A580" s="466" t="s">
        <v>318</v>
      </c>
      <c r="B580" s="450" t="s">
        <v>335</v>
      </c>
      <c r="C580" s="458" t="s">
        <v>356</v>
      </c>
      <c r="D580" s="449">
        <v>37743</v>
      </c>
      <c r="E580" s="450" t="s">
        <v>245</v>
      </c>
      <c r="F580" s="467">
        <v>0.3</v>
      </c>
      <c r="G580" s="467" t="s">
        <v>321</v>
      </c>
      <c r="H580" s="468">
        <v>0.5</v>
      </c>
      <c r="I580" s="450">
        <v>0.3</v>
      </c>
      <c r="J580" s="450" t="s">
        <v>322</v>
      </c>
      <c r="K580" s="469">
        <v>42</v>
      </c>
      <c r="L580" s="470">
        <v>1</v>
      </c>
      <c r="M580" s="509"/>
    </row>
    <row r="581" spans="1:13" ht="12.75">
      <c r="A581" s="466" t="s">
        <v>318</v>
      </c>
      <c r="B581" s="450" t="s">
        <v>335</v>
      </c>
      <c r="C581" s="458" t="s">
        <v>356</v>
      </c>
      <c r="D581" s="449">
        <v>37897</v>
      </c>
      <c r="E581" s="450" t="s">
        <v>245</v>
      </c>
      <c r="F581" s="467">
        <v>0.3</v>
      </c>
      <c r="G581" s="467" t="s">
        <v>321</v>
      </c>
      <c r="H581" s="468">
        <v>0.5</v>
      </c>
      <c r="I581" s="450">
        <v>0.3</v>
      </c>
      <c r="J581" s="450" t="s">
        <v>322</v>
      </c>
      <c r="K581" s="469">
        <v>42</v>
      </c>
      <c r="L581" s="470">
        <v>1</v>
      </c>
      <c r="M581" s="509"/>
    </row>
    <row r="582" spans="1:13" ht="12.75">
      <c r="A582" s="466" t="s">
        <v>318</v>
      </c>
      <c r="B582" s="450" t="s">
        <v>335</v>
      </c>
      <c r="C582" s="458" t="s">
        <v>356</v>
      </c>
      <c r="D582" s="449">
        <v>38127</v>
      </c>
      <c r="E582" s="450" t="s">
        <v>245</v>
      </c>
      <c r="F582" s="467">
        <v>0.3</v>
      </c>
      <c r="G582" s="467" t="s">
        <v>321</v>
      </c>
      <c r="H582" s="468">
        <v>5</v>
      </c>
      <c r="I582" s="450">
        <v>0.3</v>
      </c>
      <c r="J582" s="450" t="s">
        <v>322</v>
      </c>
      <c r="K582" s="469">
        <v>42</v>
      </c>
      <c r="L582" s="470">
        <v>10</v>
      </c>
      <c r="M582" s="509"/>
    </row>
    <row r="583" spans="1:13" ht="12.75">
      <c r="A583" s="466" t="s">
        <v>318</v>
      </c>
      <c r="B583" s="450" t="s">
        <v>335</v>
      </c>
      <c r="C583" s="458" t="s">
        <v>356</v>
      </c>
      <c r="D583" s="449">
        <v>38273</v>
      </c>
      <c r="E583" s="450" t="s">
        <v>245</v>
      </c>
      <c r="F583" s="467">
        <v>0.07</v>
      </c>
      <c r="G583" s="467" t="s">
        <v>321</v>
      </c>
      <c r="H583" s="468">
        <v>0.5</v>
      </c>
      <c r="I583" s="450">
        <v>0.07</v>
      </c>
      <c r="J583" s="450" t="s">
        <v>322</v>
      </c>
      <c r="K583" s="469">
        <v>42</v>
      </c>
      <c r="L583" s="470">
        <v>1</v>
      </c>
      <c r="M583" s="509"/>
    </row>
    <row r="584" spans="1:13" ht="12.75">
      <c r="A584" s="466" t="s">
        <v>318</v>
      </c>
      <c r="B584" s="450" t="s">
        <v>335</v>
      </c>
      <c r="C584" s="458" t="s">
        <v>356</v>
      </c>
      <c r="D584" s="449">
        <v>38477</v>
      </c>
      <c r="E584" s="450" t="s">
        <v>245</v>
      </c>
      <c r="F584" s="467">
        <v>0.07</v>
      </c>
      <c r="G584" s="467" t="s">
        <v>321</v>
      </c>
      <c r="H584" s="468">
        <v>0.5</v>
      </c>
      <c r="I584" s="450">
        <v>0.07</v>
      </c>
      <c r="J584" s="450" t="s">
        <v>322</v>
      </c>
      <c r="K584" s="469">
        <v>42</v>
      </c>
      <c r="L584" s="470">
        <v>1</v>
      </c>
      <c r="M584" s="509"/>
    </row>
    <row r="585" spans="1:13" ht="12.75">
      <c r="A585" s="466" t="s">
        <v>318</v>
      </c>
      <c r="B585" s="450" t="s">
        <v>335</v>
      </c>
      <c r="C585" s="458" t="s">
        <v>357</v>
      </c>
      <c r="D585" s="449">
        <v>37173</v>
      </c>
      <c r="E585" s="450" t="s">
        <v>245</v>
      </c>
      <c r="F585" s="467">
        <v>0.29</v>
      </c>
      <c r="G585" s="467" t="s">
        <v>321</v>
      </c>
      <c r="H585" s="468">
        <v>0.5</v>
      </c>
      <c r="I585" s="450">
        <v>0.29</v>
      </c>
      <c r="J585" s="450" t="s">
        <v>322</v>
      </c>
      <c r="K585" s="469">
        <v>43</v>
      </c>
      <c r="L585" s="470">
        <v>1</v>
      </c>
      <c r="M585" s="509"/>
    </row>
    <row r="586" spans="1:13" ht="12.75">
      <c r="A586" s="466" t="s">
        <v>318</v>
      </c>
      <c r="B586" s="450" t="s">
        <v>335</v>
      </c>
      <c r="C586" s="458" t="s">
        <v>357</v>
      </c>
      <c r="D586" s="449">
        <v>37386</v>
      </c>
      <c r="E586" s="450" t="s">
        <v>245</v>
      </c>
      <c r="F586" s="467">
        <v>0.29</v>
      </c>
      <c r="G586" s="467" t="s">
        <v>321</v>
      </c>
      <c r="H586" s="468">
        <v>0.5</v>
      </c>
      <c r="I586" s="450">
        <v>0.29</v>
      </c>
      <c r="J586" s="450" t="s">
        <v>322</v>
      </c>
      <c r="K586" s="469">
        <v>43</v>
      </c>
      <c r="L586" s="470">
        <v>1</v>
      </c>
      <c r="M586" s="509"/>
    </row>
    <row r="587" spans="1:13" ht="12.75">
      <c r="A587" s="466" t="s">
        <v>318</v>
      </c>
      <c r="B587" s="450" t="s">
        <v>335</v>
      </c>
      <c r="C587" s="458" t="s">
        <v>357</v>
      </c>
      <c r="D587" s="449">
        <v>37537</v>
      </c>
      <c r="E587" s="450" t="s">
        <v>245</v>
      </c>
      <c r="F587" s="467">
        <v>0.3</v>
      </c>
      <c r="G587" s="467" t="s">
        <v>321</v>
      </c>
      <c r="H587" s="468">
        <v>0.5</v>
      </c>
      <c r="I587" s="450">
        <v>0.3</v>
      </c>
      <c r="J587" s="450" t="s">
        <v>322</v>
      </c>
      <c r="K587" s="469">
        <v>43</v>
      </c>
      <c r="L587" s="470">
        <v>1</v>
      </c>
      <c r="M587" s="509"/>
    </row>
    <row r="588" spans="1:13" ht="12.75">
      <c r="A588" s="466" t="s">
        <v>318</v>
      </c>
      <c r="B588" s="450" t="s">
        <v>335</v>
      </c>
      <c r="C588" s="458" t="s">
        <v>357</v>
      </c>
      <c r="D588" s="449">
        <v>37743</v>
      </c>
      <c r="E588" s="450" t="s">
        <v>245</v>
      </c>
      <c r="F588" s="467">
        <v>0.3</v>
      </c>
      <c r="G588" s="467" t="s">
        <v>321</v>
      </c>
      <c r="H588" s="468">
        <v>0.5</v>
      </c>
      <c r="I588" s="450">
        <v>0.3</v>
      </c>
      <c r="J588" s="450" t="s">
        <v>322</v>
      </c>
      <c r="K588" s="469">
        <v>43</v>
      </c>
      <c r="L588" s="470">
        <v>1</v>
      </c>
      <c r="M588" s="509"/>
    </row>
    <row r="589" spans="1:13" ht="12.75">
      <c r="A589" s="466" t="s">
        <v>318</v>
      </c>
      <c r="B589" s="450" t="s">
        <v>335</v>
      </c>
      <c r="C589" s="458" t="s">
        <v>357</v>
      </c>
      <c r="D589" s="449">
        <v>37897</v>
      </c>
      <c r="E589" s="450" t="s">
        <v>245</v>
      </c>
      <c r="F589" s="467">
        <v>0.3</v>
      </c>
      <c r="G589" s="467" t="s">
        <v>321</v>
      </c>
      <c r="H589" s="468">
        <v>0.5</v>
      </c>
      <c r="I589" s="450">
        <v>0.3</v>
      </c>
      <c r="J589" s="450" t="s">
        <v>322</v>
      </c>
      <c r="K589" s="469">
        <v>43</v>
      </c>
      <c r="L589" s="470">
        <v>1</v>
      </c>
      <c r="M589" s="509"/>
    </row>
    <row r="590" spans="1:13" ht="12.75">
      <c r="A590" s="466" t="s">
        <v>318</v>
      </c>
      <c r="B590" s="450" t="s">
        <v>335</v>
      </c>
      <c r="C590" s="458" t="s">
        <v>357</v>
      </c>
      <c r="D590" s="449">
        <v>38127</v>
      </c>
      <c r="E590" s="450" t="s">
        <v>245</v>
      </c>
      <c r="F590" s="467">
        <v>0.3</v>
      </c>
      <c r="G590" s="467" t="s">
        <v>321</v>
      </c>
      <c r="H590" s="468">
        <v>5</v>
      </c>
      <c r="I590" s="450">
        <v>0.3</v>
      </c>
      <c r="J590" s="450" t="s">
        <v>322</v>
      </c>
      <c r="K590" s="469">
        <v>43</v>
      </c>
      <c r="L590" s="470">
        <v>10</v>
      </c>
      <c r="M590" s="509"/>
    </row>
    <row r="591" spans="1:13" ht="12.75">
      <c r="A591" s="466" t="s">
        <v>318</v>
      </c>
      <c r="B591" s="450" t="s">
        <v>335</v>
      </c>
      <c r="C591" s="458" t="s">
        <v>357</v>
      </c>
      <c r="D591" s="449">
        <v>38273</v>
      </c>
      <c r="E591" s="450" t="s">
        <v>245</v>
      </c>
      <c r="F591" s="467">
        <v>0.06</v>
      </c>
      <c r="G591" s="467" t="s">
        <v>321</v>
      </c>
      <c r="H591" s="468">
        <v>0.5</v>
      </c>
      <c r="I591" s="450">
        <v>0.06</v>
      </c>
      <c r="J591" s="450" t="s">
        <v>322</v>
      </c>
      <c r="K591" s="469">
        <v>43</v>
      </c>
      <c r="L591" s="470">
        <v>1</v>
      </c>
      <c r="M591" s="509"/>
    </row>
    <row r="592" spans="1:13" ht="12.75">
      <c r="A592" s="466" t="s">
        <v>318</v>
      </c>
      <c r="B592" s="450" t="s">
        <v>335</v>
      </c>
      <c r="C592" s="458" t="s">
        <v>357</v>
      </c>
      <c r="D592" s="449">
        <v>38477</v>
      </c>
      <c r="E592" s="450" t="s">
        <v>245</v>
      </c>
      <c r="F592" s="467">
        <v>0.06</v>
      </c>
      <c r="G592" s="467" t="s">
        <v>321</v>
      </c>
      <c r="H592" s="468">
        <v>0.5</v>
      </c>
      <c r="I592" s="450">
        <v>0.06</v>
      </c>
      <c r="J592" s="450" t="s">
        <v>322</v>
      </c>
      <c r="K592" s="469">
        <v>43</v>
      </c>
      <c r="L592" s="470">
        <v>1</v>
      </c>
      <c r="M592" s="509"/>
    </row>
    <row r="593" spans="1:13" ht="12.75">
      <c r="A593" s="466" t="s">
        <v>318</v>
      </c>
      <c r="B593" s="450" t="s">
        <v>335</v>
      </c>
      <c r="C593" s="458" t="s">
        <v>358</v>
      </c>
      <c r="D593" s="449">
        <v>37173</v>
      </c>
      <c r="E593" s="450" t="s">
        <v>245</v>
      </c>
      <c r="F593" s="467">
        <v>0.34</v>
      </c>
      <c r="G593" s="467" t="s">
        <v>321</v>
      </c>
      <c r="H593" s="468">
        <v>0.5</v>
      </c>
      <c r="I593" s="450">
        <v>0.34</v>
      </c>
      <c r="J593" s="450" t="s">
        <v>322</v>
      </c>
      <c r="K593" s="469">
        <v>44</v>
      </c>
      <c r="L593" s="470">
        <v>1</v>
      </c>
      <c r="M593" s="509"/>
    </row>
    <row r="594" spans="1:13" ht="12.75">
      <c r="A594" s="466" t="s">
        <v>318</v>
      </c>
      <c r="B594" s="450" t="s">
        <v>335</v>
      </c>
      <c r="C594" s="458" t="s">
        <v>358</v>
      </c>
      <c r="D594" s="449">
        <v>37386</v>
      </c>
      <c r="E594" s="450" t="s">
        <v>245</v>
      </c>
      <c r="F594" s="467">
        <v>0.34</v>
      </c>
      <c r="G594" s="467" t="s">
        <v>321</v>
      </c>
      <c r="H594" s="468">
        <v>0.5</v>
      </c>
      <c r="I594" s="450">
        <v>0.34</v>
      </c>
      <c r="J594" s="450" t="s">
        <v>322</v>
      </c>
      <c r="K594" s="469">
        <v>44</v>
      </c>
      <c r="L594" s="470">
        <v>1</v>
      </c>
      <c r="M594" s="509"/>
    </row>
    <row r="595" spans="1:13" ht="12.75">
      <c r="A595" s="466" t="s">
        <v>318</v>
      </c>
      <c r="B595" s="450" t="s">
        <v>335</v>
      </c>
      <c r="C595" s="458" t="s">
        <v>358</v>
      </c>
      <c r="D595" s="449">
        <v>37537</v>
      </c>
      <c r="E595" s="450" t="s">
        <v>245</v>
      </c>
      <c r="F595" s="467">
        <v>0.47</v>
      </c>
      <c r="G595" s="467" t="s">
        <v>321</v>
      </c>
      <c r="H595" s="468">
        <v>0.5</v>
      </c>
      <c r="I595" s="450">
        <v>0.47</v>
      </c>
      <c r="J595" s="450" t="s">
        <v>322</v>
      </c>
      <c r="K595" s="469">
        <v>44</v>
      </c>
      <c r="L595" s="470">
        <v>1</v>
      </c>
      <c r="M595" s="509"/>
    </row>
    <row r="596" spans="1:13" ht="12.75">
      <c r="A596" s="466" t="s">
        <v>318</v>
      </c>
      <c r="B596" s="450" t="s">
        <v>335</v>
      </c>
      <c r="C596" s="458" t="s">
        <v>358</v>
      </c>
      <c r="D596" s="449">
        <v>37743</v>
      </c>
      <c r="E596" s="450" t="s">
        <v>245</v>
      </c>
      <c r="F596" s="467">
        <v>0.47</v>
      </c>
      <c r="G596" s="467" t="s">
        <v>321</v>
      </c>
      <c r="H596" s="468">
        <v>0.5</v>
      </c>
      <c r="I596" s="450">
        <v>0.47</v>
      </c>
      <c r="J596" s="450" t="s">
        <v>322</v>
      </c>
      <c r="K596" s="469">
        <v>44</v>
      </c>
      <c r="L596" s="470">
        <v>1</v>
      </c>
      <c r="M596" s="509"/>
    </row>
    <row r="597" spans="1:13" ht="12.75">
      <c r="A597" s="466" t="s">
        <v>318</v>
      </c>
      <c r="B597" s="450" t="s">
        <v>335</v>
      </c>
      <c r="C597" s="458" t="s">
        <v>358</v>
      </c>
      <c r="D597" s="449">
        <v>37897</v>
      </c>
      <c r="E597" s="450" t="s">
        <v>245</v>
      </c>
      <c r="F597" s="467">
        <v>0.47</v>
      </c>
      <c r="G597" s="467" t="s">
        <v>321</v>
      </c>
      <c r="H597" s="468">
        <v>0.5</v>
      </c>
      <c r="I597" s="450">
        <v>0.47</v>
      </c>
      <c r="J597" s="450" t="s">
        <v>322</v>
      </c>
      <c r="K597" s="469">
        <v>44</v>
      </c>
      <c r="L597" s="470">
        <v>1</v>
      </c>
      <c r="M597" s="509"/>
    </row>
    <row r="598" spans="1:13" ht="12.75">
      <c r="A598" s="466" t="s">
        <v>318</v>
      </c>
      <c r="B598" s="450" t="s">
        <v>335</v>
      </c>
      <c r="C598" s="458" t="s">
        <v>358</v>
      </c>
      <c r="D598" s="449">
        <v>38127</v>
      </c>
      <c r="E598" s="450" t="s">
        <v>245</v>
      </c>
      <c r="F598" s="467">
        <v>0.47</v>
      </c>
      <c r="G598" s="467" t="s">
        <v>321</v>
      </c>
      <c r="H598" s="468">
        <v>5</v>
      </c>
      <c r="I598" s="450">
        <v>0.47</v>
      </c>
      <c r="J598" s="450" t="s">
        <v>322</v>
      </c>
      <c r="K598" s="469">
        <v>44</v>
      </c>
      <c r="L598" s="470">
        <v>10</v>
      </c>
      <c r="M598" s="509"/>
    </row>
    <row r="599" spans="1:13" ht="12.75">
      <c r="A599" s="466" t="s">
        <v>318</v>
      </c>
      <c r="B599" s="450" t="s">
        <v>335</v>
      </c>
      <c r="C599" s="458" t="s">
        <v>358</v>
      </c>
      <c r="D599" s="449">
        <v>38273</v>
      </c>
      <c r="E599" s="450" t="s">
        <v>245</v>
      </c>
      <c r="F599" s="467">
        <v>0.05</v>
      </c>
      <c r="G599" s="467" t="s">
        <v>321</v>
      </c>
      <c r="H599" s="468">
        <v>0.5</v>
      </c>
      <c r="I599" s="450">
        <v>0.05</v>
      </c>
      <c r="J599" s="450" t="s">
        <v>322</v>
      </c>
      <c r="K599" s="469">
        <v>44</v>
      </c>
      <c r="L599" s="470">
        <v>1</v>
      </c>
      <c r="M599" s="509"/>
    </row>
    <row r="600" spans="1:13" ht="12.75">
      <c r="A600" s="466" t="s">
        <v>318</v>
      </c>
      <c r="B600" s="450" t="s">
        <v>335</v>
      </c>
      <c r="C600" s="458" t="s">
        <v>358</v>
      </c>
      <c r="D600" s="449">
        <v>38477</v>
      </c>
      <c r="E600" s="450" t="s">
        <v>245</v>
      </c>
      <c r="F600" s="467">
        <v>0.05</v>
      </c>
      <c r="G600" s="467" t="s">
        <v>321</v>
      </c>
      <c r="H600" s="468">
        <v>0.5</v>
      </c>
      <c r="I600" s="450">
        <v>0.05</v>
      </c>
      <c r="J600" s="450" t="s">
        <v>322</v>
      </c>
      <c r="K600" s="469">
        <v>44</v>
      </c>
      <c r="L600" s="470">
        <v>1</v>
      </c>
      <c r="M600" s="509"/>
    </row>
    <row r="601" spans="1:13" ht="12.75">
      <c r="A601" s="466" t="s">
        <v>318</v>
      </c>
      <c r="B601" s="450" t="s">
        <v>359</v>
      </c>
      <c r="C601" s="458" t="s">
        <v>360</v>
      </c>
      <c r="D601" s="449">
        <v>37173</v>
      </c>
      <c r="E601" s="450" t="s">
        <v>245</v>
      </c>
      <c r="F601" s="467">
        <v>0.4</v>
      </c>
      <c r="G601" s="467" t="s">
        <v>321</v>
      </c>
      <c r="H601" s="468">
        <v>5</v>
      </c>
      <c r="I601" s="450">
        <v>0.4</v>
      </c>
      <c r="J601" s="450" t="s">
        <v>322</v>
      </c>
      <c r="K601" s="469">
        <v>45</v>
      </c>
      <c r="L601" s="470">
        <v>1</v>
      </c>
      <c r="M601" s="509"/>
    </row>
    <row r="602" spans="1:13" ht="12.75">
      <c r="A602" s="466" t="s">
        <v>318</v>
      </c>
      <c r="B602" s="450" t="s">
        <v>359</v>
      </c>
      <c r="C602" s="458" t="s">
        <v>360</v>
      </c>
      <c r="D602" s="449">
        <v>37386</v>
      </c>
      <c r="E602" s="450" t="s">
        <v>245</v>
      </c>
      <c r="F602" s="467">
        <v>0.4</v>
      </c>
      <c r="G602" s="467" t="s">
        <v>321</v>
      </c>
      <c r="H602" s="468">
        <v>5</v>
      </c>
      <c r="I602" s="450">
        <v>0.4</v>
      </c>
      <c r="J602" s="450" t="s">
        <v>322</v>
      </c>
      <c r="K602" s="469">
        <v>45</v>
      </c>
      <c r="L602" s="470">
        <v>1</v>
      </c>
      <c r="M602" s="509"/>
    </row>
    <row r="603" spans="1:13" ht="12.75">
      <c r="A603" s="466" t="s">
        <v>318</v>
      </c>
      <c r="B603" s="450" t="s">
        <v>359</v>
      </c>
      <c r="C603" s="458" t="s">
        <v>360</v>
      </c>
      <c r="D603" s="449">
        <v>37537</v>
      </c>
      <c r="E603" s="450" t="s">
        <v>245</v>
      </c>
      <c r="F603" s="467">
        <v>0.6</v>
      </c>
      <c r="G603" s="467" t="s">
        <v>321</v>
      </c>
      <c r="H603" s="468">
        <v>5</v>
      </c>
      <c r="I603" s="450">
        <v>0.6</v>
      </c>
      <c r="J603" s="450" t="s">
        <v>322</v>
      </c>
      <c r="K603" s="469">
        <v>45</v>
      </c>
      <c r="L603" s="470">
        <v>1</v>
      </c>
      <c r="M603" s="509"/>
    </row>
    <row r="604" spans="1:13" ht="12.75">
      <c r="A604" s="466" t="s">
        <v>318</v>
      </c>
      <c r="B604" s="450" t="s">
        <v>359</v>
      </c>
      <c r="C604" s="458" t="s">
        <v>360</v>
      </c>
      <c r="D604" s="449">
        <v>37743</v>
      </c>
      <c r="E604" s="450" t="s">
        <v>245</v>
      </c>
      <c r="F604" s="467">
        <v>0.6</v>
      </c>
      <c r="G604" s="467" t="s">
        <v>321</v>
      </c>
      <c r="H604" s="468">
        <v>5</v>
      </c>
      <c r="I604" s="450">
        <v>0.6</v>
      </c>
      <c r="J604" s="450" t="s">
        <v>322</v>
      </c>
      <c r="K604" s="469">
        <v>45</v>
      </c>
      <c r="L604" s="470">
        <v>1</v>
      </c>
      <c r="M604" s="509"/>
    </row>
    <row r="605" spans="1:13" ht="12.75">
      <c r="A605" s="466" t="s">
        <v>318</v>
      </c>
      <c r="B605" s="450" t="s">
        <v>359</v>
      </c>
      <c r="C605" s="458" t="s">
        <v>360</v>
      </c>
      <c r="D605" s="449">
        <v>37897</v>
      </c>
      <c r="E605" s="450" t="s">
        <v>245</v>
      </c>
      <c r="F605" s="467">
        <v>0.6</v>
      </c>
      <c r="G605" s="467" t="s">
        <v>321</v>
      </c>
      <c r="H605" s="468">
        <v>5</v>
      </c>
      <c r="I605" s="450">
        <v>0.6</v>
      </c>
      <c r="J605" s="450" t="s">
        <v>322</v>
      </c>
      <c r="K605" s="469">
        <v>45</v>
      </c>
      <c r="L605" s="470">
        <v>1</v>
      </c>
      <c r="M605" s="509"/>
    </row>
    <row r="606" spans="1:13" ht="12.75">
      <c r="A606" s="466" t="s">
        <v>318</v>
      </c>
      <c r="B606" s="450" t="s">
        <v>359</v>
      </c>
      <c r="C606" s="458" t="s">
        <v>360</v>
      </c>
      <c r="D606" s="449">
        <v>38113</v>
      </c>
      <c r="E606" s="450" t="s">
        <v>245</v>
      </c>
      <c r="F606" s="467">
        <v>0.6</v>
      </c>
      <c r="G606" s="467" t="s">
        <v>321</v>
      </c>
      <c r="H606" s="468">
        <v>2</v>
      </c>
      <c r="I606" s="450">
        <v>0.6</v>
      </c>
      <c r="J606" s="450" t="s">
        <v>322</v>
      </c>
      <c r="K606" s="469">
        <v>45</v>
      </c>
      <c r="L606" s="470">
        <v>1</v>
      </c>
      <c r="M606" s="509"/>
    </row>
    <row r="607" spans="1:13" ht="12.75">
      <c r="A607" s="466" t="s">
        <v>318</v>
      </c>
      <c r="B607" s="450" t="s">
        <v>359</v>
      </c>
      <c r="C607" s="458" t="s">
        <v>360</v>
      </c>
      <c r="D607" s="449">
        <v>38273</v>
      </c>
      <c r="E607" s="450" t="s">
        <v>245</v>
      </c>
      <c r="F607" s="467">
        <v>1.2</v>
      </c>
      <c r="G607" s="467" t="s">
        <v>321</v>
      </c>
      <c r="H607" s="468">
        <v>2</v>
      </c>
      <c r="I607" s="450">
        <v>1.2</v>
      </c>
      <c r="J607" s="450" t="s">
        <v>322</v>
      </c>
      <c r="K607" s="469">
        <v>45</v>
      </c>
      <c r="L607" s="470">
        <v>1</v>
      </c>
      <c r="M607" s="509"/>
    </row>
    <row r="608" spans="1:13" ht="12.75">
      <c r="A608" s="466" t="s">
        <v>318</v>
      </c>
      <c r="B608" s="450" t="s">
        <v>359</v>
      </c>
      <c r="C608" s="458" t="s">
        <v>360</v>
      </c>
      <c r="D608" s="449">
        <v>38477</v>
      </c>
      <c r="E608" s="450" t="s">
        <v>245</v>
      </c>
      <c r="F608" s="467">
        <v>1.1</v>
      </c>
      <c r="G608" s="467" t="s">
        <v>321</v>
      </c>
      <c r="H608" s="468">
        <v>2</v>
      </c>
      <c r="I608" s="450">
        <v>1.1</v>
      </c>
      <c r="J608" s="450" t="s">
        <v>322</v>
      </c>
      <c r="K608" s="469">
        <v>45</v>
      </c>
      <c r="L608" s="470">
        <v>1</v>
      </c>
      <c r="M608" s="509"/>
    </row>
    <row r="609" spans="1:13" ht="12.75">
      <c r="A609" s="466" t="s">
        <v>318</v>
      </c>
      <c r="B609" s="450" t="s">
        <v>359</v>
      </c>
      <c r="C609" s="458" t="s">
        <v>360</v>
      </c>
      <c r="D609" s="449">
        <v>38638</v>
      </c>
      <c r="E609" s="450" t="s">
        <v>245</v>
      </c>
      <c r="F609" s="467">
        <v>1.2</v>
      </c>
      <c r="G609" s="467" t="s">
        <v>321</v>
      </c>
      <c r="H609" s="468">
        <v>2</v>
      </c>
      <c r="I609" s="450">
        <v>1.2</v>
      </c>
      <c r="J609" s="450" t="s">
        <v>322</v>
      </c>
      <c r="K609" s="469">
        <v>45</v>
      </c>
      <c r="L609" s="470">
        <v>1</v>
      </c>
      <c r="M609" s="509"/>
    </row>
    <row r="610" spans="1:13" ht="12.75">
      <c r="A610" s="466" t="s">
        <v>318</v>
      </c>
      <c r="B610" s="450" t="s">
        <v>359</v>
      </c>
      <c r="C610" s="458" t="s">
        <v>361</v>
      </c>
      <c r="D610" s="449">
        <v>37173</v>
      </c>
      <c r="E610" s="450" t="s">
        <v>245</v>
      </c>
      <c r="F610" s="467">
        <v>0.3</v>
      </c>
      <c r="G610" s="467" t="s">
        <v>321</v>
      </c>
      <c r="H610" s="468">
        <v>5</v>
      </c>
      <c r="I610" s="450">
        <v>0.3</v>
      </c>
      <c r="J610" s="450" t="s">
        <v>322</v>
      </c>
      <c r="K610" s="469">
        <v>46</v>
      </c>
      <c r="L610" s="470">
        <v>1</v>
      </c>
      <c r="M610" s="509"/>
    </row>
    <row r="611" spans="1:13" ht="12.75">
      <c r="A611" s="466" t="s">
        <v>318</v>
      </c>
      <c r="B611" s="450" t="s">
        <v>359</v>
      </c>
      <c r="C611" s="458" t="s">
        <v>361</v>
      </c>
      <c r="D611" s="449">
        <v>37386</v>
      </c>
      <c r="E611" s="450" t="s">
        <v>245</v>
      </c>
      <c r="F611" s="467">
        <v>0.3</v>
      </c>
      <c r="G611" s="467" t="s">
        <v>321</v>
      </c>
      <c r="H611" s="468">
        <v>5</v>
      </c>
      <c r="I611" s="450">
        <v>0.3</v>
      </c>
      <c r="J611" s="450" t="s">
        <v>322</v>
      </c>
      <c r="K611" s="469">
        <v>46</v>
      </c>
      <c r="L611" s="470">
        <v>1</v>
      </c>
      <c r="M611" s="509"/>
    </row>
    <row r="612" spans="1:13" ht="12.75">
      <c r="A612" s="466" t="s">
        <v>318</v>
      </c>
      <c r="B612" s="450" t="s">
        <v>359</v>
      </c>
      <c r="C612" s="458" t="s">
        <v>361</v>
      </c>
      <c r="D612" s="449">
        <v>37537</v>
      </c>
      <c r="E612" s="450" t="s">
        <v>245</v>
      </c>
      <c r="F612" s="467">
        <v>0.7</v>
      </c>
      <c r="G612" s="467" t="s">
        <v>321</v>
      </c>
      <c r="H612" s="468">
        <v>5</v>
      </c>
      <c r="I612" s="450">
        <v>0.7</v>
      </c>
      <c r="J612" s="450" t="s">
        <v>322</v>
      </c>
      <c r="K612" s="469">
        <v>46</v>
      </c>
      <c r="L612" s="470">
        <v>1</v>
      </c>
      <c r="M612" s="509"/>
    </row>
    <row r="613" spans="1:13" ht="12.75">
      <c r="A613" s="466" t="s">
        <v>318</v>
      </c>
      <c r="B613" s="450" t="s">
        <v>359</v>
      </c>
      <c r="C613" s="458" t="s">
        <v>361</v>
      </c>
      <c r="D613" s="449">
        <v>37743</v>
      </c>
      <c r="E613" s="450" t="s">
        <v>245</v>
      </c>
      <c r="F613" s="467">
        <v>0.7</v>
      </c>
      <c r="G613" s="467" t="s">
        <v>321</v>
      </c>
      <c r="H613" s="468">
        <v>5</v>
      </c>
      <c r="I613" s="450">
        <v>0.7</v>
      </c>
      <c r="J613" s="450" t="s">
        <v>322</v>
      </c>
      <c r="K613" s="469">
        <v>46</v>
      </c>
      <c r="L613" s="470">
        <v>1</v>
      </c>
      <c r="M613" s="509"/>
    </row>
    <row r="614" spans="1:13" ht="12.75">
      <c r="A614" s="466" t="s">
        <v>318</v>
      </c>
      <c r="B614" s="450" t="s">
        <v>359</v>
      </c>
      <c r="C614" s="458" t="s">
        <v>361</v>
      </c>
      <c r="D614" s="449">
        <v>37897</v>
      </c>
      <c r="E614" s="450" t="s">
        <v>245</v>
      </c>
      <c r="F614" s="467">
        <v>0.7</v>
      </c>
      <c r="G614" s="467" t="s">
        <v>321</v>
      </c>
      <c r="H614" s="468">
        <v>5</v>
      </c>
      <c r="I614" s="450">
        <v>0.7</v>
      </c>
      <c r="J614" s="450" t="s">
        <v>322</v>
      </c>
      <c r="K614" s="469">
        <v>46</v>
      </c>
      <c r="L614" s="470">
        <v>1</v>
      </c>
      <c r="M614" s="509"/>
    </row>
    <row r="615" spans="1:13" ht="12.75">
      <c r="A615" s="466" t="s">
        <v>318</v>
      </c>
      <c r="B615" s="450" t="s">
        <v>359</v>
      </c>
      <c r="C615" s="458" t="s">
        <v>361</v>
      </c>
      <c r="D615" s="449">
        <v>38113</v>
      </c>
      <c r="E615" s="450" t="s">
        <v>245</v>
      </c>
      <c r="F615" s="467">
        <v>0.7</v>
      </c>
      <c r="G615" s="467" t="s">
        <v>321</v>
      </c>
      <c r="H615" s="468">
        <v>1</v>
      </c>
      <c r="I615" s="450">
        <v>0.7</v>
      </c>
      <c r="J615" s="450" t="s">
        <v>322</v>
      </c>
      <c r="K615" s="469">
        <v>46</v>
      </c>
      <c r="L615" s="470">
        <v>1</v>
      </c>
      <c r="M615" s="509"/>
    </row>
    <row r="616" spans="1:13" ht="12.75">
      <c r="A616" s="466" t="s">
        <v>318</v>
      </c>
      <c r="B616" s="450" t="s">
        <v>359</v>
      </c>
      <c r="C616" s="458" t="s">
        <v>361</v>
      </c>
      <c r="D616" s="449">
        <v>38273</v>
      </c>
      <c r="E616" s="450" t="s">
        <v>245</v>
      </c>
      <c r="F616" s="467">
        <v>0.9</v>
      </c>
      <c r="G616" s="467" t="s">
        <v>321</v>
      </c>
      <c r="H616" s="468">
        <v>1</v>
      </c>
      <c r="I616" s="450">
        <v>0.9</v>
      </c>
      <c r="J616" s="450" t="s">
        <v>322</v>
      </c>
      <c r="K616" s="469">
        <v>46</v>
      </c>
      <c r="L616" s="470">
        <v>1</v>
      </c>
      <c r="M616" s="509"/>
    </row>
    <row r="617" spans="1:13" ht="12.75">
      <c r="A617" s="466" t="s">
        <v>318</v>
      </c>
      <c r="B617" s="450" t="s">
        <v>359</v>
      </c>
      <c r="C617" s="458" t="s">
        <v>361</v>
      </c>
      <c r="D617" s="449">
        <v>38477</v>
      </c>
      <c r="E617" s="450" t="s">
        <v>245</v>
      </c>
      <c r="F617" s="467">
        <v>0.86</v>
      </c>
      <c r="G617" s="467" t="s">
        <v>321</v>
      </c>
      <c r="H617" s="468">
        <v>1</v>
      </c>
      <c r="I617" s="450">
        <v>0.86</v>
      </c>
      <c r="J617" s="450" t="s">
        <v>322</v>
      </c>
      <c r="K617" s="469">
        <v>46</v>
      </c>
      <c r="L617" s="470">
        <v>1</v>
      </c>
      <c r="M617" s="509"/>
    </row>
    <row r="618" spans="1:13" ht="12.75">
      <c r="A618" s="466" t="s">
        <v>318</v>
      </c>
      <c r="B618" s="450" t="s">
        <v>359</v>
      </c>
      <c r="C618" s="458" t="s">
        <v>361</v>
      </c>
      <c r="D618" s="449">
        <v>38638</v>
      </c>
      <c r="E618" s="450" t="s">
        <v>245</v>
      </c>
      <c r="F618" s="467">
        <v>0.9</v>
      </c>
      <c r="G618" s="467" t="s">
        <v>321</v>
      </c>
      <c r="H618" s="468">
        <v>1</v>
      </c>
      <c r="I618" s="450">
        <v>0.9</v>
      </c>
      <c r="J618" s="450" t="s">
        <v>322</v>
      </c>
      <c r="K618" s="469">
        <v>46</v>
      </c>
      <c r="L618" s="470">
        <v>1</v>
      </c>
      <c r="M618" s="509"/>
    </row>
    <row r="619" spans="1:13" ht="12.75">
      <c r="A619" s="466" t="s">
        <v>318</v>
      </c>
      <c r="B619" s="450" t="s">
        <v>359</v>
      </c>
      <c r="C619" s="458" t="s">
        <v>362</v>
      </c>
      <c r="D619" s="449">
        <v>37173</v>
      </c>
      <c r="E619" s="450" t="s">
        <v>245</v>
      </c>
      <c r="F619" s="467">
        <v>0.3</v>
      </c>
      <c r="G619" s="467" t="s">
        <v>321</v>
      </c>
      <c r="H619" s="468">
        <v>2</v>
      </c>
      <c r="I619" s="450">
        <v>0.3</v>
      </c>
      <c r="J619" s="450" t="s">
        <v>322</v>
      </c>
      <c r="K619" s="469">
        <v>47</v>
      </c>
      <c r="L619" s="470">
        <v>1</v>
      </c>
      <c r="M619" s="509"/>
    </row>
    <row r="620" spans="1:13" ht="12.75">
      <c r="A620" s="466" t="s">
        <v>318</v>
      </c>
      <c r="B620" s="450" t="s">
        <v>359</v>
      </c>
      <c r="C620" s="458" t="s">
        <v>362</v>
      </c>
      <c r="D620" s="449">
        <v>37386</v>
      </c>
      <c r="E620" s="450" t="s">
        <v>245</v>
      </c>
      <c r="F620" s="467">
        <v>0.3</v>
      </c>
      <c r="G620" s="467" t="s">
        <v>321</v>
      </c>
      <c r="H620" s="468">
        <v>2</v>
      </c>
      <c r="I620" s="450">
        <v>0.3</v>
      </c>
      <c r="J620" s="450" t="s">
        <v>322</v>
      </c>
      <c r="K620" s="469">
        <v>47</v>
      </c>
      <c r="L620" s="470">
        <v>1</v>
      </c>
      <c r="M620" s="509"/>
    </row>
    <row r="621" spans="1:13" ht="12.75">
      <c r="A621" s="466" t="s">
        <v>318</v>
      </c>
      <c r="B621" s="450" t="s">
        <v>359</v>
      </c>
      <c r="C621" s="458" t="s">
        <v>362</v>
      </c>
      <c r="D621" s="449">
        <v>37537</v>
      </c>
      <c r="E621" s="450" t="s">
        <v>245</v>
      </c>
      <c r="F621" s="467">
        <v>0.9</v>
      </c>
      <c r="G621" s="467" t="s">
        <v>321</v>
      </c>
      <c r="H621" s="468">
        <v>2</v>
      </c>
      <c r="I621" s="450">
        <v>0.9</v>
      </c>
      <c r="J621" s="450" t="s">
        <v>322</v>
      </c>
      <c r="K621" s="469">
        <v>47</v>
      </c>
      <c r="L621" s="470">
        <v>1</v>
      </c>
      <c r="M621" s="509"/>
    </row>
    <row r="622" spans="1:13" ht="12.75">
      <c r="A622" s="466" t="s">
        <v>318</v>
      </c>
      <c r="B622" s="450" t="s">
        <v>359</v>
      </c>
      <c r="C622" s="458" t="s">
        <v>362</v>
      </c>
      <c r="D622" s="449">
        <v>37743</v>
      </c>
      <c r="E622" s="450" t="s">
        <v>245</v>
      </c>
      <c r="F622" s="467">
        <v>0.9</v>
      </c>
      <c r="G622" s="467" t="s">
        <v>321</v>
      </c>
      <c r="H622" s="468">
        <v>2</v>
      </c>
      <c r="I622" s="450">
        <v>0.9</v>
      </c>
      <c r="J622" s="450" t="s">
        <v>322</v>
      </c>
      <c r="K622" s="469">
        <v>47</v>
      </c>
      <c r="L622" s="470">
        <v>1</v>
      </c>
      <c r="M622" s="509"/>
    </row>
    <row r="623" spans="1:13" ht="12.75">
      <c r="A623" s="466" t="s">
        <v>318</v>
      </c>
      <c r="B623" s="450" t="s">
        <v>359</v>
      </c>
      <c r="C623" s="458" t="s">
        <v>362</v>
      </c>
      <c r="D623" s="449">
        <v>37897</v>
      </c>
      <c r="E623" s="450" t="s">
        <v>245</v>
      </c>
      <c r="F623" s="467">
        <v>0.9</v>
      </c>
      <c r="G623" s="467" t="s">
        <v>321</v>
      </c>
      <c r="H623" s="468">
        <v>2</v>
      </c>
      <c r="I623" s="450">
        <v>0.9</v>
      </c>
      <c r="J623" s="450" t="s">
        <v>322</v>
      </c>
      <c r="K623" s="469">
        <v>47</v>
      </c>
      <c r="L623" s="470">
        <v>1</v>
      </c>
      <c r="M623" s="509"/>
    </row>
    <row r="624" spans="1:13" ht="12.75">
      <c r="A624" s="466" t="s">
        <v>318</v>
      </c>
      <c r="B624" s="450" t="s">
        <v>359</v>
      </c>
      <c r="C624" s="458" t="s">
        <v>362</v>
      </c>
      <c r="D624" s="449">
        <v>38113</v>
      </c>
      <c r="E624" s="450" t="s">
        <v>245</v>
      </c>
      <c r="F624" s="467">
        <v>0.9</v>
      </c>
      <c r="G624" s="467" t="s">
        <v>321</v>
      </c>
      <c r="H624" s="468">
        <v>2</v>
      </c>
      <c r="I624" s="450">
        <v>0.9</v>
      </c>
      <c r="J624" s="450" t="s">
        <v>322</v>
      </c>
      <c r="K624" s="469">
        <v>47</v>
      </c>
      <c r="L624" s="470">
        <v>1</v>
      </c>
      <c r="M624" s="509"/>
    </row>
    <row r="625" spans="1:13" ht="12.75">
      <c r="A625" s="466" t="s">
        <v>318</v>
      </c>
      <c r="B625" s="450" t="s">
        <v>359</v>
      </c>
      <c r="C625" s="458" t="s">
        <v>362</v>
      </c>
      <c r="D625" s="449">
        <v>38273</v>
      </c>
      <c r="E625" s="450" t="s">
        <v>245</v>
      </c>
      <c r="F625" s="467">
        <v>1.1</v>
      </c>
      <c r="G625" s="467" t="s">
        <v>321</v>
      </c>
      <c r="H625" s="468">
        <v>2</v>
      </c>
      <c r="I625" s="450">
        <v>1.1</v>
      </c>
      <c r="J625" s="450" t="s">
        <v>322</v>
      </c>
      <c r="K625" s="469">
        <v>47</v>
      </c>
      <c r="L625" s="470">
        <v>1</v>
      </c>
      <c r="M625" s="509"/>
    </row>
    <row r="626" spans="1:13" ht="12.75">
      <c r="A626" s="466" t="s">
        <v>318</v>
      </c>
      <c r="B626" s="450" t="s">
        <v>359</v>
      </c>
      <c r="C626" s="458" t="s">
        <v>362</v>
      </c>
      <c r="D626" s="449">
        <v>38477</v>
      </c>
      <c r="E626" s="450" t="s">
        <v>245</v>
      </c>
      <c r="F626" s="467">
        <v>1</v>
      </c>
      <c r="G626" s="467" t="s">
        <v>321</v>
      </c>
      <c r="H626" s="468">
        <v>2</v>
      </c>
      <c r="I626" s="450">
        <v>1</v>
      </c>
      <c r="J626" s="450" t="s">
        <v>322</v>
      </c>
      <c r="K626" s="469">
        <v>47</v>
      </c>
      <c r="L626" s="470">
        <v>1</v>
      </c>
      <c r="M626" s="509"/>
    </row>
    <row r="627" spans="1:13" ht="12.75">
      <c r="A627" s="466" t="s">
        <v>318</v>
      </c>
      <c r="B627" s="450" t="s">
        <v>359</v>
      </c>
      <c r="C627" s="458" t="s">
        <v>362</v>
      </c>
      <c r="D627" s="449">
        <v>38638</v>
      </c>
      <c r="E627" s="450" t="s">
        <v>245</v>
      </c>
      <c r="F627" s="467">
        <v>1.1</v>
      </c>
      <c r="G627" s="467" t="s">
        <v>321</v>
      </c>
      <c r="H627" s="468">
        <v>2</v>
      </c>
      <c r="I627" s="450">
        <v>1.1</v>
      </c>
      <c r="J627" s="450" t="s">
        <v>322</v>
      </c>
      <c r="K627" s="469">
        <v>47</v>
      </c>
      <c r="L627" s="470">
        <v>1</v>
      </c>
      <c r="M627" s="509"/>
    </row>
    <row r="628" spans="1:13" ht="12.75">
      <c r="A628" s="466" t="s">
        <v>318</v>
      </c>
      <c r="B628" s="450" t="s">
        <v>359</v>
      </c>
      <c r="C628" s="458" t="s">
        <v>363</v>
      </c>
      <c r="D628" s="449">
        <v>37173</v>
      </c>
      <c r="E628" s="450" t="s">
        <v>245</v>
      </c>
      <c r="F628" s="467">
        <v>0.4</v>
      </c>
      <c r="G628" s="467" t="s">
        <v>321</v>
      </c>
      <c r="H628" s="468">
        <v>5</v>
      </c>
      <c r="I628" s="450">
        <v>0.4</v>
      </c>
      <c r="J628" s="450" t="s">
        <v>322</v>
      </c>
      <c r="K628" s="469">
        <v>48</v>
      </c>
      <c r="L628" s="470">
        <v>1</v>
      </c>
      <c r="M628" s="509"/>
    </row>
    <row r="629" spans="1:13" ht="12.75">
      <c r="A629" s="466" t="s">
        <v>318</v>
      </c>
      <c r="B629" s="450" t="s">
        <v>359</v>
      </c>
      <c r="C629" s="458" t="s">
        <v>363</v>
      </c>
      <c r="D629" s="449">
        <v>37386</v>
      </c>
      <c r="E629" s="450" t="s">
        <v>245</v>
      </c>
      <c r="F629" s="467">
        <v>0.4</v>
      </c>
      <c r="G629" s="467" t="s">
        <v>321</v>
      </c>
      <c r="H629" s="468">
        <v>5</v>
      </c>
      <c r="I629" s="450">
        <v>0.4</v>
      </c>
      <c r="J629" s="450" t="s">
        <v>322</v>
      </c>
      <c r="K629" s="469">
        <v>48</v>
      </c>
      <c r="L629" s="470">
        <v>1</v>
      </c>
      <c r="M629" s="509"/>
    </row>
    <row r="630" spans="1:13" ht="12.75">
      <c r="A630" s="466" t="s">
        <v>318</v>
      </c>
      <c r="B630" s="450" t="s">
        <v>359</v>
      </c>
      <c r="C630" s="458" t="s">
        <v>363</v>
      </c>
      <c r="D630" s="449">
        <v>37537</v>
      </c>
      <c r="E630" s="450" t="s">
        <v>245</v>
      </c>
      <c r="F630" s="467">
        <v>0.9</v>
      </c>
      <c r="G630" s="467" t="s">
        <v>321</v>
      </c>
      <c r="H630" s="468">
        <v>5</v>
      </c>
      <c r="I630" s="450">
        <v>0.9</v>
      </c>
      <c r="J630" s="450" t="s">
        <v>322</v>
      </c>
      <c r="K630" s="469">
        <v>48</v>
      </c>
      <c r="L630" s="470">
        <v>1</v>
      </c>
      <c r="M630" s="509"/>
    </row>
    <row r="631" spans="1:13" ht="12.75">
      <c r="A631" s="466" t="s">
        <v>318</v>
      </c>
      <c r="B631" s="450" t="s">
        <v>359</v>
      </c>
      <c r="C631" s="458" t="s">
        <v>363</v>
      </c>
      <c r="D631" s="449">
        <v>37743</v>
      </c>
      <c r="E631" s="450" t="s">
        <v>245</v>
      </c>
      <c r="F631" s="467">
        <v>0.9</v>
      </c>
      <c r="G631" s="467" t="s">
        <v>321</v>
      </c>
      <c r="H631" s="468">
        <v>5</v>
      </c>
      <c r="I631" s="450">
        <v>0.9</v>
      </c>
      <c r="J631" s="450" t="s">
        <v>322</v>
      </c>
      <c r="K631" s="469">
        <v>48</v>
      </c>
      <c r="L631" s="470">
        <v>1</v>
      </c>
      <c r="M631" s="509"/>
    </row>
    <row r="632" spans="1:13" ht="12.75">
      <c r="A632" s="466" t="s">
        <v>318</v>
      </c>
      <c r="B632" s="450" t="s">
        <v>359</v>
      </c>
      <c r="C632" s="458" t="s">
        <v>363</v>
      </c>
      <c r="D632" s="449">
        <v>37897</v>
      </c>
      <c r="E632" s="450" t="s">
        <v>245</v>
      </c>
      <c r="F632" s="467">
        <v>0.9</v>
      </c>
      <c r="G632" s="467" t="s">
        <v>321</v>
      </c>
      <c r="H632" s="468">
        <v>5</v>
      </c>
      <c r="I632" s="450">
        <v>0.9</v>
      </c>
      <c r="J632" s="450" t="s">
        <v>322</v>
      </c>
      <c r="K632" s="469">
        <v>48</v>
      </c>
      <c r="L632" s="470">
        <v>1</v>
      </c>
      <c r="M632" s="509"/>
    </row>
    <row r="633" spans="1:13" ht="12.75">
      <c r="A633" s="466" t="s">
        <v>318</v>
      </c>
      <c r="B633" s="450" t="s">
        <v>359</v>
      </c>
      <c r="C633" s="458" t="s">
        <v>363</v>
      </c>
      <c r="D633" s="449">
        <v>38113</v>
      </c>
      <c r="E633" s="450" t="s">
        <v>245</v>
      </c>
      <c r="F633" s="467">
        <v>0.9</v>
      </c>
      <c r="G633" s="467" t="s">
        <v>321</v>
      </c>
      <c r="H633" s="468">
        <v>5</v>
      </c>
      <c r="I633" s="450">
        <v>0.9</v>
      </c>
      <c r="J633" s="450" t="s">
        <v>322</v>
      </c>
      <c r="K633" s="469">
        <v>48</v>
      </c>
      <c r="L633" s="470">
        <v>1</v>
      </c>
      <c r="M633" s="509"/>
    </row>
    <row r="634" spans="1:13" ht="12.75">
      <c r="A634" s="466" t="s">
        <v>318</v>
      </c>
      <c r="B634" s="450" t="s">
        <v>359</v>
      </c>
      <c r="C634" s="458" t="s">
        <v>363</v>
      </c>
      <c r="D634" s="449">
        <v>38273</v>
      </c>
      <c r="E634" s="450" t="s">
        <v>245</v>
      </c>
      <c r="F634" s="467">
        <v>2</v>
      </c>
      <c r="G634" s="467" t="s">
        <v>321</v>
      </c>
      <c r="H634" s="468">
        <v>5</v>
      </c>
      <c r="I634" s="450">
        <v>2</v>
      </c>
      <c r="J634" s="450" t="s">
        <v>322</v>
      </c>
      <c r="K634" s="469">
        <v>48</v>
      </c>
      <c r="L634" s="470">
        <v>1</v>
      </c>
      <c r="M634" s="509"/>
    </row>
    <row r="635" spans="1:13" ht="12.75">
      <c r="A635" s="466" t="s">
        <v>318</v>
      </c>
      <c r="B635" s="450" t="s">
        <v>359</v>
      </c>
      <c r="C635" s="458" t="s">
        <v>363</v>
      </c>
      <c r="D635" s="449">
        <v>38477</v>
      </c>
      <c r="E635" s="450" t="s">
        <v>245</v>
      </c>
      <c r="F635" s="467">
        <v>1.9</v>
      </c>
      <c r="G635" s="467" t="s">
        <v>321</v>
      </c>
      <c r="H635" s="468">
        <v>5</v>
      </c>
      <c r="I635" s="450">
        <v>1.9</v>
      </c>
      <c r="J635" s="450" t="s">
        <v>322</v>
      </c>
      <c r="K635" s="469">
        <v>48</v>
      </c>
      <c r="L635" s="470">
        <v>1</v>
      </c>
      <c r="M635" s="509"/>
    </row>
    <row r="636" spans="1:13" ht="12.75">
      <c r="A636" s="466" t="s">
        <v>318</v>
      </c>
      <c r="B636" s="450" t="s">
        <v>359</v>
      </c>
      <c r="C636" s="458" t="s">
        <v>363</v>
      </c>
      <c r="D636" s="449">
        <v>38638</v>
      </c>
      <c r="E636" s="450" t="s">
        <v>245</v>
      </c>
      <c r="F636" s="467">
        <v>2</v>
      </c>
      <c r="G636" s="467" t="s">
        <v>321</v>
      </c>
      <c r="H636" s="468">
        <v>5</v>
      </c>
      <c r="I636" s="450">
        <v>2</v>
      </c>
      <c r="J636" s="450" t="s">
        <v>322</v>
      </c>
      <c r="K636" s="469">
        <v>48</v>
      </c>
      <c r="L636" s="470">
        <v>1</v>
      </c>
      <c r="M636" s="509"/>
    </row>
    <row r="637" spans="1:13" ht="12.75">
      <c r="A637" s="466" t="s">
        <v>318</v>
      </c>
      <c r="B637" s="450" t="s">
        <v>359</v>
      </c>
      <c r="C637" s="458" t="s">
        <v>364</v>
      </c>
      <c r="D637" s="449">
        <v>37173</v>
      </c>
      <c r="E637" s="450" t="s">
        <v>245</v>
      </c>
      <c r="F637" s="467">
        <v>0.3</v>
      </c>
      <c r="G637" s="467" t="s">
        <v>321</v>
      </c>
      <c r="H637" s="468">
        <v>5</v>
      </c>
      <c r="I637" s="450">
        <v>0.3</v>
      </c>
      <c r="J637" s="450" t="s">
        <v>322</v>
      </c>
      <c r="K637" s="469">
        <v>49</v>
      </c>
      <c r="L637" s="470">
        <v>1</v>
      </c>
      <c r="M637" s="509"/>
    </row>
    <row r="638" spans="1:13" ht="12.75">
      <c r="A638" s="466" t="s">
        <v>318</v>
      </c>
      <c r="B638" s="450" t="s">
        <v>359</v>
      </c>
      <c r="C638" s="458" t="s">
        <v>364</v>
      </c>
      <c r="D638" s="449">
        <v>37386</v>
      </c>
      <c r="E638" s="450" t="s">
        <v>245</v>
      </c>
      <c r="F638" s="467">
        <v>0.3</v>
      </c>
      <c r="G638" s="467" t="s">
        <v>321</v>
      </c>
      <c r="H638" s="468">
        <v>5</v>
      </c>
      <c r="I638" s="450">
        <v>0.3</v>
      </c>
      <c r="J638" s="450" t="s">
        <v>322</v>
      </c>
      <c r="K638" s="469">
        <v>49</v>
      </c>
      <c r="L638" s="470">
        <v>1</v>
      </c>
      <c r="M638" s="509"/>
    </row>
    <row r="639" spans="1:13" ht="12.75">
      <c r="A639" s="466" t="s">
        <v>318</v>
      </c>
      <c r="B639" s="450" t="s">
        <v>359</v>
      </c>
      <c r="C639" s="458" t="s">
        <v>364</v>
      </c>
      <c r="D639" s="449">
        <v>37537</v>
      </c>
      <c r="E639" s="450" t="s">
        <v>245</v>
      </c>
      <c r="F639" s="467">
        <v>0.6</v>
      </c>
      <c r="G639" s="467" t="s">
        <v>321</v>
      </c>
      <c r="H639" s="468">
        <v>5</v>
      </c>
      <c r="I639" s="450">
        <v>0.6</v>
      </c>
      <c r="J639" s="450" t="s">
        <v>322</v>
      </c>
      <c r="K639" s="469">
        <v>49</v>
      </c>
      <c r="L639" s="470">
        <v>1</v>
      </c>
      <c r="M639" s="509"/>
    </row>
    <row r="640" spans="1:13" ht="12.75">
      <c r="A640" s="466" t="s">
        <v>318</v>
      </c>
      <c r="B640" s="450" t="s">
        <v>359</v>
      </c>
      <c r="C640" s="458" t="s">
        <v>364</v>
      </c>
      <c r="D640" s="449">
        <v>37743</v>
      </c>
      <c r="E640" s="450" t="s">
        <v>245</v>
      </c>
      <c r="F640" s="467">
        <v>0.6</v>
      </c>
      <c r="G640" s="467" t="s">
        <v>321</v>
      </c>
      <c r="H640" s="468">
        <v>5</v>
      </c>
      <c r="I640" s="450">
        <v>0.6</v>
      </c>
      <c r="J640" s="450" t="s">
        <v>322</v>
      </c>
      <c r="K640" s="469">
        <v>49</v>
      </c>
      <c r="L640" s="470">
        <v>1</v>
      </c>
      <c r="M640" s="509"/>
    </row>
    <row r="641" spans="1:13" ht="12.75">
      <c r="A641" s="466" t="s">
        <v>318</v>
      </c>
      <c r="B641" s="450" t="s">
        <v>359</v>
      </c>
      <c r="C641" s="458" t="s">
        <v>364</v>
      </c>
      <c r="D641" s="449">
        <v>37897</v>
      </c>
      <c r="E641" s="450" t="s">
        <v>245</v>
      </c>
      <c r="F641" s="467">
        <v>0.6</v>
      </c>
      <c r="G641" s="467" t="s">
        <v>321</v>
      </c>
      <c r="H641" s="468">
        <v>5</v>
      </c>
      <c r="I641" s="450">
        <v>0.6</v>
      </c>
      <c r="J641" s="450" t="s">
        <v>322</v>
      </c>
      <c r="K641" s="469">
        <v>49</v>
      </c>
      <c r="L641" s="470">
        <v>1</v>
      </c>
      <c r="M641" s="509"/>
    </row>
    <row r="642" spans="1:13" ht="12.75">
      <c r="A642" s="466" t="s">
        <v>318</v>
      </c>
      <c r="B642" s="450" t="s">
        <v>359</v>
      </c>
      <c r="C642" s="458" t="s">
        <v>364</v>
      </c>
      <c r="D642" s="449">
        <v>38113</v>
      </c>
      <c r="E642" s="450" t="s">
        <v>245</v>
      </c>
      <c r="F642" s="467">
        <v>0.6</v>
      </c>
      <c r="G642" s="467" t="s">
        <v>321</v>
      </c>
      <c r="H642" s="468">
        <v>5</v>
      </c>
      <c r="I642" s="450">
        <v>0.6</v>
      </c>
      <c r="J642" s="450" t="s">
        <v>322</v>
      </c>
      <c r="K642" s="469">
        <v>49</v>
      </c>
      <c r="L642" s="470">
        <v>1</v>
      </c>
      <c r="M642" s="509"/>
    </row>
    <row r="643" spans="1:13" ht="12.75">
      <c r="A643" s="466" t="s">
        <v>318</v>
      </c>
      <c r="B643" s="450" t="s">
        <v>359</v>
      </c>
      <c r="C643" s="458" t="s">
        <v>364</v>
      </c>
      <c r="D643" s="449">
        <v>38273</v>
      </c>
      <c r="E643" s="450" t="s">
        <v>245</v>
      </c>
      <c r="F643" s="467">
        <v>2</v>
      </c>
      <c r="G643" s="467" t="s">
        <v>321</v>
      </c>
      <c r="H643" s="468">
        <v>5</v>
      </c>
      <c r="I643" s="450">
        <v>2</v>
      </c>
      <c r="J643" s="450" t="s">
        <v>322</v>
      </c>
      <c r="K643" s="469">
        <v>49</v>
      </c>
      <c r="L643" s="470">
        <v>1</v>
      </c>
      <c r="M643" s="509"/>
    </row>
    <row r="644" spans="1:13" ht="12.75">
      <c r="A644" s="466" t="s">
        <v>318</v>
      </c>
      <c r="B644" s="450" t="s">
        <v>359</v>
      </c>
      <c r="C644" s="458" t="s">
        <v>364</v>
      </c>
      <c r="D644" s="449">
        <v>38477</v>
      </c>
      <c r="E644" s="450" t="s">
        <v>245</v>
      </c>
      <c r="F644" s="467">
        <v>1.9</v>
      </c>
      <c r="G644" s="467" t="s">
        <v>321</v>
      </c>
      <c r="H644" s="468">
        <v>5</v>
      </c>
      <c r="I644" s="450">
        <v>1.9</v>
      </c>
      <c r="J644" s="450" t="s">
        <v>322</v>
      </c>
      <c r="K644" s="469">
        <v>49</v>
      </c>
      <c r="L644" s="470">
        <v>1</v>
      </c>
      <c r="M644" s="509"/>
    </row>
    <row r="645" spans="1:13" ht="12.75">
      <c r="A645" s="466" t="s">
        <v>318</v>
      </c>
      <c r="B645" s="450" t="s">
        <v>359</v>
      </c>
      <c r="C645" s="458" t="s">
        <v>364</v>
      </c>
      <c r="D645" s="449">
        <v>38638</v>
      </c>
      <c r="E645" s="450" t="s">
        <v>245</v>
      </c>
      <c r="F645" s="467">
        <v>2</v>
      </c>
      <c r="G645" s="467" t="s">
        <v>321</v>
      </c>
      <c r="H645" s="468">
        <v>5</v>
      </c>
      <c r="I645" s="450">
        <v>2</v>
      </c>
      <c r="J645" s="450" t="s">
        <v>322</v>
      </c>
      <c r="K645" s="469">
        <v>49</v>
      </c>
      <c r="L645" s="470">
        <v>1</v>
      </c>
      <c r="M645" s="509"/>
    </row>
    <row r="646" spans="1:13" ht="12.75">
      <c r="A646" s="466" t="s">
        <v>318</v>
      </c>
      <c r="B646" s="450" t="s">
        <v>359</v>
      </c>
      <c r="C646" s="458" t="s">
        <v>365</v>
      </c>
      <c r="D646" s="449">
        <v>37173</v>
      </c>
      <c r="E646" s="450" t="s">
        <v>245</v>
      </c>
      <c r="F646" s="467">
        <v>0.3</v>
      </c>
      <c r="G646" s="467" t="s">
        <v>321</v>
      </c>
      <c r="H646" s="468">
        <v>5</v>
      </c>
      <c r="I646" s="450">
        <v>0.3</v>
      </c>
      <c r="J646" s="450" t="s">
        <v>322</v>
      </c>
      <c r="K646" s="469">
        <v>50</v>
      </c>
      <c r="L646" s="470">
        <v>1</v>
      </c>
      <c r="M646" s="509"/>
    </row>
    <row r="647" spans="1:13" ht="12.75">
      <c r="A647" s="466" t="s">
        <v>318</v>
      </c>
      <c r="B647" s="450" t="s">
        <v>359</v>
      </c>
      <c r="C647" s="458" t="s">
        <v>365</v>
      </c>
      <c r="D647" s="449">
        <v>37386</v>
      </c>
      <c r="E647" s="450" t="s">
        <v>245</v>
      </c>
      <c r="F647" s="467">
        <v>0.3</v>
      </c>
      <c r="G647" s="467" t="s">
        <v>321</v>
      </c>
      <c r="H647" s="468">
        <v>5</v>
      </c>
      <c r="I647" s="450">
        <v>0.3</v>
      </c>
      <c r="J647" s="450" t="s">
        <v>322</v>
      </c>
      <c r="K647" s="469">
        <v>50</v>
      </c>
      <c r="L647" s="470">
        <v>1</v>
      </c>
      <c r="M647" s="509"/>
    </row>
    <row r="648" spans="1:13" ht="12.75">
      <c r="A648" s="466" t="s">
        <v>318</v>
      </c>
      <c r="B648" s="450" t="s">
        <v>359</v>
      </c>
      <c r="C648" s="458" t="s">
        <v>365</v>
      </c>
      <c r="D648" s="449">
        <v>37537</v>
      </c>
      <c r="E648" s="450" t="s">
        <v>245</v>
      </c>
      <c r="F648" s="467">
        <v>0.7</v>
      </c>
      <c r="G648" s="467" t="s">
        <v>321</v>
      </c>
      <c r="H648" s="468">
        <v>5</v>
      </c>
      <c r="I648" s="450">
        <v>0.7</v>
      </c>
      <c r="J648" s="450" t="s">
        <v>322</v>
      </c>
      <c r="K648" s="469">
        <v>50</v>
      </c>
      <c r="L648" s="470">
        <v>1</v>
      </c>
      <c r="M648" s="509"/>
    </row>
    <row r="649" spans="1:13" ht="12.75">
      <c r="A649" s="466" t="s">
        <v>318</v>
      </c>
      <c r="B649" s="450" t="s">
        <v>359</v>
      </c>
      <c r="C649" s="458" t="s">
        <v>365</v>
      </c>
      <c r="D649" s="449">
        <v>37743</v>
      </c>
      <c r="E649" s="450" t="s">
        <v>245</v>
      </c>
      <c r="F649" s="467">
        <v>0.7</v>
      </c>
      <c r="G649" s="467" t="s">
        <v>321</v>
      </c>
      <c r="H649" s="468">
        <v>5</v>
      </c>
      <c r="I649" s="450">
        <v>0.7</v>
      </c>
      <c r="J649" s="450" t="s">
        <v>322</v>
      </c>
      <c r="K649" s="469">
        <v>50</v>
      </c>
      <c r="L649" s="470">
        <v>1</v>
      </c>
      <c r="M649" s="509"/>
    </row>
    <row r="650" spans="1:13" ht="12.75">
      <c r="A650" s="466" t="s">
        <v>318</v>
      </c>
      <c r="B650" s="450" t="s">
        <v>359</v>
      </c>
      <c r="C650" s="458" t="s">
        <v>365</v>
      </c>
      <c r="D650" s="449">
        <v>37897</v>
      </c>
      <c r="E650" s="450" t="s">
        <v>245</v>
      </c>
      <c r="F650" s="467">
        <v>0.7</v>
      </c>
      <c r="G650" s="467" t="s">
        <v>321</v>
      </c>
      <c r="H650" s="468">
        <v>5</v>
      </c>
      <c r="I650" s="450">
        <v>0.7</v>
      </c>
      <c r="J650" s="450" t="s">
        <v>322</v>
      </c>
      <c r="K650" s="469">
        <v>50</v>
      </c>
      <c r="L650" s="470">
        <v>1</v>
      </c>
      <c r="M650" s="509"/>
    </row>
    <row r="651" spans="1:13" ht="12.75">
      <c r="A651" s="466" t="s">
        <v>318</v>
      </c>
      <c r="B651" s="450" t="s">
        <v>359</v>
      </c>
      <c r="C651" s="458" t="s">
        <v>365</v>
      </c>
      <c r="D651" s="449">
        <v>38113</v>
      </c>
      <c r="E651" s="450" t="s">
        <v>245</v>
      </c>
      <c r="F651" s="467">
        <v>0.7</v>
      </c>
      <c r="G651" s="467" t="s">
        <v>321</v>
      </c>
      <c r="H651" s="468">
        <v>5</v>
      </c>
      <c r="I651" s="450">
        <v>0.7</v>
      </c>
      <c r="J651" s="450" t="s">
        <v>322</v>
      </c>
      <c r="K651" s="469">
        <v>50</v>
      </c>
      <c r="L651" s="470">
        <v>1</v>
      </c>
      <c r="M651" s="509"/>
    </row>
    <row r="652" spans="1:13" ht="12.75">
      <c r="A652" s="466" t="s">
        <v>318</v>
      </c>
      <c r="B652" s="450" t="s">
        <v>359</v>
      </c>
      <c r="C652" s="458" t="s">
        <v>365</v>
      </c>
      <c r="D652" s="449">
        <v>38273</v>
      </c>
      <c r="E652" s="450" t="s">
        <v>245</v>
      </c>
      <c r="F652" s="467">
        <v>1.1</v>
      </c>
      <c r="G652" s="467" t="s">
        <v>321</v>
      </c>
      <c r="H652" s="468">
        <v>5</v>
      </c>
      <c r="I652" s="450">
        <v>1.1</v>
      </c>
      <c r="J652" s="450" t="s">
        <v>322</v>
      </c>
      <c r="K652" s="469">
        <v>50</v>
      </c>
      <c r="L652" s="470">
        <v>1</v>
      </c>
      <c r="M652" s="509"/>
    </row>
    <row r="653" spans="1:13" ht="12.75">
      <c r="A653" s="466" t="s">
        <v>318</v>
      </c>
      <c r="B653" s="450" t="s">
        <v>359</v>
      </c>
      <c r="C653" s="458" t="s">
        <v>365</v>
      </c>
      <c r="D653" s="449">
        <v>38477</v>
      </c>
      <c r="E653" s="450" t="s">
        <v>245</v>
      </c>
      <c r="F653" s="467">
        <v>1</v>
      </c>
      <c r="G653" s="467" t="s">
        <v>321</v>
      </c>
      <c r="H653" s="468">
        <v>5</v>
      </c>
      <c r="I653" s="450">
        <v>1</v>
      </c>
      <c r="J653" s="450" t="s">
        <v>322</v>
      </c>
      <c r="K653" s="469">
        <v>50</v>
      </c>
      <c r="L653" s="470">
        <v>1</v>
      </c>
      <c r="M653" s="509"/>
    </row>
    <row r="654" spans="1:13" ht="12.75">
      <c r="A654" s="466" t="s">
        <v>318</v>
      </c>
      <c r="B654" s="450" t="s">
        <v>359</v>
      </c>
      <c r="C654" s="458" t="s">
        <v>365</v>
      </c>
      <c r="D654" s="449">
        <v>38638</v>
      </c>
      <c r="E654" s="450" t="s">
        <v>245</v>
      </c>
      <c r="F654" s="467">
        <v>1.1</v>
      </c>
      <c r="G654" s="467" t="s">
        <v>321</v>
      </c>
      <c r="H654" s="468">
        <v>5</v>
      </c>
      <c r="I654" s="450">
        <v>1.1</v>
      </c>
      <c r="J654" s="450" t="s">
        <v>322</v>
      </c>
      <c r="K654" s="469">
        <v>50</v>
      </c>
      <c r="L654" s="470">
        <v>1</v>
      </c>
      <c r="M654" s="509"/>
    </row>
    <row r="655" spans="1:13" ht="12.75">
      <c r="A655" s="466" t="s">
        <v>318</v>
      </c>
      <c r="B655" s="450" t="s">
        <v>359</v>
      </c>
      <c r="C655" s="458" t="s">
        <v>366</v>
      </c>
      <c r="D655" s="449">
        <v>37173</v>
      </c>
      <c r="E655" s="450" t="s">
        <v>245</v>
      </c>
      <c r="F655" s="467">
        <v>0.2</v>
      </c>
      <c r="G655" s="467" t="s">
        <v>321</v>
      </c>
      <c r="H655" s="468">
        <v>5</v>
      </c>
      <c r="I655" s="450">
        <v>0.2</v>
      </c>
      <c r="J655" s="450" t="s">
        <v>322</v>
      </c>
      <c r="K655" s="469">
        <v>51</v>
      </c>
      <c r="L655" s="470">
        <v>1</v>
      </c>
      <c r="M655" s="509"/>
    </row>
    <row r="656" spans="1:13" ht="12.75">
      <c r="A656" s="466" t="s">
        <v>318</v>
      </c>
      <c r="B656" s="450" t="s">
        <v>359</v>
      </c>
      <c r="C656" s="458" t="s">
        <v>366</v>
      </c>
      <c r="D656" s="449">
        <v>37386</v>
      </c>
      <c r="E656" s="450" t="s">
        <v>245</v>
      </c>
      <c r="F656" s="467">
        <v>0.2</v>
      </c>
      <c r="G656" s="467" t="s">
        <v>321</v>
      </c>
      <c r="H656" s="468">
        <v>5</v>
      </c>
      <c r="I656" s="450">
        <v>0.2</v>
      </c>
      <c r="J656" s="450" t="s">
        <v>322</v>
      </c>
      <c r="K656" s="469">
        <v>51</v>
      </c>
      <c r="L656" s="470">
        <v>1</v>
      </c>
      <c r="M656" s="509"/>
    </row>
    <row r="657" spans="1:13" ht="12.75">
      <c r="A657" s="466" t="s">
        <v>318</v>
      </c>
      <c r="B657" s="450" t="s">
        <v>359</v>
      </c>
      <c r="C657" s="458" t="s">
        <v>366</v>
      </c>
      <c r="D657" s="449">
        <v>37537</v>
      </c>
      <c r="E657" s="450" t="s">
        <v>245</v>
      </c>
      <c r="F657" s="467">
        <v>0.6</v>
      </c>
      <c r="G657" s="467" t="s">
        <v>321</v>
      </c>
      <c r="H657" s="468">
        <v>5</v>
      </c>
      <c r="I657" s="450">
        <v>0.6</v>
      </c>
      <c r="J657" s="450" t="s">
        <v>322</v>
      </c>
      <c r="K657" s="469">
        <v>51</v>
      </c>
      <c r="L657" s="470">
        <v>1</v>
      </c>
      <c r="M657" s="509"/>
    </row>
    <row r="658" spans="1:13" ht="12.75">
      <c r="A658" s="466" t="s">
        <v>318</v>
      </c>
      <c r="B658" s="450" t="s">
        <v>359</v>
      </c>
      <c r="C658" s="458" t="s">
        <v>366</v>
      </c>
      <c r="D658" s="449">
        <v>37743</v>
      </c>
      <c r="E658" s="450" t="s">
        <v>245</v>
      </c>
      <c r="F658" s="467">
        <v>0.6</v>
      </c>
      <c r="G658" s="467" t="s">
        <v>321</v>
      </c>
      <c r="H658" s="468">
        <v>5</v>
      </c>
      <c r="I658" s="450">
        <v>0.6</v>
      </c>
      <c r="J658" s="450" t="s">
        <v>322</v>
      </c>
      <c r="K658" s="469">
        <v>51</v>
      </c>
      <c r="L658" s="470">
        <v>1</v>
      </c>
      <c r="M658" s="509"/>
    </row>
    <row r="659" spans="1:13" ht="12.75">
      <c r="A659" s="466" t="s">
        <v>318</v>
      </c>
      <c r="B659" s="450" t="s">
        <v>359</v>
      </c>
      <c r="C659" s="458" t="s">
        <v>366</v>
      </c>
      <c r="D659" s="449">
        <v>37897</v>
      </c>
      <c r="E659" s="450" t="s">
        <v>245</v>
      </c>
      <c r="F659" s="467">
        <v>0.6</v>
      </c>
      <c r="G659" s="467" t="s">
        <v>321</v>
      </c>
      <c r="H659" s="468">
        <v>5</v>
      </c>
      <c r="I659" s="450">
        <v>0.6</v>
      </c>
      <c r="J659" s="450" t="s">
        <v>322</v>
      </c>
      <c r="K659" s="469">
        <v>51</v>
      </c>
      <c r="L659" s="470">
        <v>1</v>
      </c>
      <c r="M659" s="509"/>
    </row>
    <row r="660" spans="1:13" ht="12.75">
      <c r="A660" s="466" t="s">
        <v>318</v>
      </c>
      <c r="B660" s="450" t="s">
        <v>359</v>
      </c>
      <c r="C660" s="458" t="s">
        <v>366</v>
      </c>
      <c r="D660" s="449">
        <v>38113</v>
      </c>
      <c r="E660" s="450" t="s">
        <v>245</v>
      </c>
      <c r="F660" s="467">
        <v>0.6</v>
      </c>
      <c r="G660" s="467" t="s">
        <v>321</v>
      </c>
      <c r="H660" s="468">
        <v>5</v>
      </c>
      <c r="I660" s="450">
        <v>0.6</v>
      </c>
      <c r="J660" s="450" t="s">
        <v>322</v>
      </c>
      <c r="K660" s="469">
        <v>51</v>
      </c>
      <c r="L660" s="470">
        <v>1</v>
      </c>
      <c r="M660" s="509"/>
    </row>
    <row r="661" spans="1:13" ht="12.75">
      <c r="A661" s="466" t="s">
        <v>318</v>
      </c>
      <c r="B661" s="450" t="s">
        <v>359</v>
      </c>
      <c r="C661" s="458" t="s">
        <v>366</v>
      </c>
      <c r="D661" s="449">
        <v>38273</v>
      </c>
      <c r="E661" s="450" t="s">
        <v>245</v>
      </c>
      <c r="F661" s="467">
        <v>1</v>
      </c>
      <c r="G661" s="467" t="s">
        <v>321</v>
      </c>
      <c r="H661" s="468">
        <v>5</v>
      </c>
      <c r="I661" s="450">
        <v>1</v>
      </c>
      <c r="J661" s="450" t="s">
        <v>322</v>
      </c>
      <c r="K661" s="469">
        <v>51</v>
      </c>
      <c r="L661" s="470">
        <v>1</v>
      </c>
      <c r="M661" s="509"/>
    </row>
    <row r="662" spans="1:13" ht="12.75">
      <c r="A662" s="466" t="s">
        <v>318</v>
      </c>
      <c r="B662" s="450" t="s">
        <v>359</v>
      </c>
      <c r="C662" s="458" t="s">
        <v>366</v>
      </c>
      <c r="D662" s="449">
        <v>38477</v>
      </c>
      <c r="E662" s="450" t="s">
        <v>245</v>
      </c>
      <c r="F662" s="467">
        <v>0.95</v>
      </c>
      <c r="G662" s="467" t="s">
        <v>321</v>
      </c>
      <c r="H662" s="468">
        <v>5</v>
      </c>
      <c r="I662" s="450">
        <v>0.95</v>
      </c>
      <c r="J662" s="450" t="s">
        <v>322</v>
      </c>
      <c r="K662" s="469">
        <v>51</v>
      </c>
      <c r="L662" s="470">
        <v>1</v>
      </c>
      <c r="M662" s="509"/>
    </row>
    <row r="663" spans="1:13" ht="12.75">
      <c r="A663" s="466" t="s">
        <v>318</v>
      </c>
      <c r="B663" s="450" t="s">
        <v>359</v>
      </c>
      <c r="C663" s="458" t="s">
        <v>366</v>
      </c>
      <c r="D663" s="449">
        <v>38638</v>
      </c>
      <c r="E663" s="450" t="s">
        <v>245</v>
      </c>
      <c r="F663" s="467">
        <v>1</v>
      </c>
      <c r="G663" s="467" t="s">
        <v>321</v>
      </c>
      <c r="H663" s="468">
        <v>5</v>
      </c>
      <c r="I663" s="450">
        <v>1</v>
      </c>
      <c r="J663" s="450" t="s">
        <v>322</v>
      </c>
      <c r="K663" s="469">
        <v>51</v>
      </c>
      <c r="L663" s="470">
        <v>1</v>
      </c>
      <c r="M663" s="509"/>
    </row>
    <row r="664" spans="1:13" ht="12.75">
      <c r="A664" s="466" t="s">
        <v>318</v>
      </c>
      <c r="B664" s="450" t="s">
        <v>359</v>
      </c>
      <c r="C664" s="458" t="s">
        <v>367</v>
      </c>
      <c r="D664" s="449">
        <v>37173</v>
      </c>
      <c r="E664" s="450" t="s">
        <v>245</v>
      </c>
      <c r="F664" s="467">
        <v>0.3</v>
      </c>
      <c r="G664" s="467" t="s">
        <v>321</v>
      </c>
      <c r="H664" s="468">
        <v>1</v>
      </c>
      <c r="I664" s="450">
        <v>0.3</v>
      </c>
      <c r="J664" s="450" t="s">
        <v>322</v>
      </c>
      <c r="K664" s="469">
        <v>52</v>
      </c>
      <c r="L664" s="470">
        <v>1</v>
      </c>
      <c r="M664" s="509"/>
    </row>
    <row r="665" spans="1:13" ht="12.75">
      <c r="A665" s="466" t="s">
        <v>318</v>
      </c>
      <c r="B665" s="450" t="s">
        <v>359</v>
      </c>
      <c r="C665" s="458" t="s">
        <v>367</v>
      </c>
      <c r="D665" s="449">
        <v>37386</v>
      </c>
      <c r="E665" s="450" t="s">
        <v>245</v>
      </c>
      <c r="F665" s="467">
        <v>0.3</v>
      </c>
      <c r="G665" s="467" t="s">
        <v>321</v>
      </c>
      <c r="H665" s="468">
        <v>1</v>
      </c>
      <c r="I665" s="450">
        <v>0.3</v>
      </c>
      <c r="J665" s="450" t="s">
        <v>322</v>
      </c>
      <c r="K665" s="469">
        <v>52</v>
      </c>
      <c r="L665" s="470">
        <v>1</v>
      </c>
      <c r="M665" s="509"/>
    </row>
    <row r="666" spans="1:13" ht="12.75">
      <c r="A666" s="466" t="s">
        <v>318</v>
      </c>
      <c r="B666" s="450" t="s">
        <v>359</v>
      </c>
      <c r="C666" s="458" t="s">
        <v>367</v>
      </c>
      <c r="D666" s="449">
        <v>37537</v>
      </c>
      <c r="E666" s="450" t="s">
        <v>245</v>
      </c>
      <c r="F666" s="467">
        <v>0.5</v>
      </c>
      <c r="G666" s="467" t="s">
        <v>321</v>
      </c>
      <c r="H666" s="468">
        <v>1</v>
      </c>
      <c r="I666" s="450">
        <v>0.5</v>
      </c>
      <c r="J666" s="450" t="s">
        <v>322</v>
      </c>
      <c r="K666" s="469">
        <v>52</v>
      </c>
      <c r="L666" s="470">
        <v>1</v>
      </c>
      <c r="M666" s="509"/>
    </row>
    <row r="667" spans="1:13" ht="12.75">
      <c r="A667" s="466" t="s">
        <v>318</v>
      </c>
      <c r="B667" s="450" t="s">
        <v>359</v>
      </c>
      <c r="C667" s="458" t="s">
        <v>367</v>
      </c>
      <c r="D667" s="449">
        <v>37743</v>
      </c>
      <c r="E667" s="450" t="s">
        <v>245</v>
      </c>
      <c r="F667" s="467">
        <v>0.5</v>
      </c>
      <c r="G667" s="467" t="s">
        <v>321</v>
      </c>
      <c r="H667" s="468">
        <v>1</v>
      </c>
      <c r="I667" s="450">
        <v>0.5</v>
      </c>
      <c r="J667" s="450" t="s">
        <v>322</v>
      </c>
      <c r="K667" s="469">
        <v>52</v>
      </c>
      <c r="L667" s="470">
        <v>1</v>
      </c>
      <c r="M667" s="509"/>
    </row>
    <row r="668" spans="1:13" ht="12.75">
      <c r="A668" s="466" t="s">
        <v>318</v>
      </c>
      <c r="B668" s="450" t="s">
        <v>359</v>
      </c>
      <c r="C668" s="458" t="s">
        <v>367</v>
      </c>
      <c r="D668" s="449">
        <v>37897</v>
      </c>
      <c r="E668" s="450" t="s">
        <v>245</v>
      </c>
      <c r="F668" s="467">
        <v>0.5</v>
      </c>
      <c r="G668" s="467" t="s">
        <v>321</v>
      </c>
      <c r="H668" s="468">
        <v>1</v>
      </c>
      <c r="I668" s="450">
        <v>0.5</v>
      </c>
      <c r="J668" s="450" t="s">
        <v>322</v>
      </c>
      <c r="K668" s="469">
        <v>52</v>
      </c>
      <c r="L668" s="470">
        <v>1</v>
      </c>
      <c r="M668" s="509"/>
    </row>
    <row r="669" spans="1:13" ht="12.75">
      <c r="A669" s="466" t="s">
        <v>318</v>
      </c>
      <c r="B669" s="450" t="s">
        <v>359</v>
      </c>
      <c r="C669" s="458" t="s">
        <v>367</v>
      </c>
      <c r="D669" s="449">
        <v>38113</v>
      </c>
      <c r="E669" s="450" t="s">
        <v>245</v>
      </c>
      <c r="F669" s="467">
        <v>0.5</v>
      </c>
      <c r="G669" s="467" t="s">
        <v>321</v>
      </c>
      <c r="H669" s="468">
        <v>1</v>
      </c>
      <c r="I669" s="450">
        <v>0.5</v>
      </c>
      <c r="J669" s="450" t="s">
        <v>322</v>
      </c>
      <c r="K669" s="469">
        <v>52</v>
      </c>
      <c r="L669" s="470">
        <v>1</v>
      </c>
      <c r="M669" s="509"/>
    </row>
    <row r="670" spans="1:13" ht="12.75">
      <c r="A670" s="466" t="s">
        <v>318</v>
      </c>
      <c r="B670" s="450" t="s">
        <v>359</v>
      </c>
      <c r="C670" s="458" t="s">
        <v>367</v>
      </c>
      <c r="D670" s="449">
        <v>38273</v>
      </c>
      <c r="E670" s="450" t="s">
        <v>245</v>
      </c>
      <c r="F670" s="467">
        <v>0.93</v>
      </c>
      <c r="G670" s="467" t="s">
        <v>321</v>
      </c>
      <c r="H670" s="468">
        <v>1</v>
      </c>
      <c r="I670" s="450">
        <v>0.93</v>
      </c>
      <c r="J670" s="450" t="s">
        <v>322</v>
      </c>
      <c r="K670" s="469">
        <v>52</v>
      </c>
      <c r="L670" s="470">
        <v>1</v>
      </c>
      <c r="M670" s="509"/>
    </row>
    <row r="671" spans="1:13" ht="12.75">
      <c r="A671" s="466" t="s">
        <v>318</v>
      </c>
      <c r="B671" s="450" t="s">
        <v>359</v>
      </c>
      <c r="C671" s="458" t="s">
        <v>367</v>
      </c>
      <c r="D671" s="449">
        <v>38477</v>
      </c>
      <c r="E671" s="450" t="s">
        <v>245</v>
      </c>
      <c r="F671" s="467">
        <v>0.89</v>
      </c>
      <c r="G671" s="467" t="s">
        <v>321</v>
      </c>
      <c r="H671" s="468">
        <v>1</v>
      </c>
      <c r="I671" s="450">
        <v>0.89</v>
      </c>
      <c r="J671" s="450" t="s">
        <v>322</v>
      </c>
      <c r="K671" s="469">
        <v>52</v>
      </c>
      <c r="L671" s="470">
        <v>1</v>
      </c>
      <c r="M671" s="509"/>
    </row>
    <row r="672" spans="1:13" ht="12.75">
      <c r="A672" s="466" t="s">
        <v>318</v>
      </c>
      <c r="B672" s="450" t="s">
        <v>359</v>
      </c>
      <c r="C672" s="458" t="s">
        <v>367</v>
      </c>
      <c r="D672" s="449">
        <v>38638</v>
      </c>
      <c r="E672" s="450" t="s">
        <v>245</v>
      </c>
      <c r="F672" s="467">
        <v>0.93</v>
      </c>
      <c r="G672" s="467" t="s">
        <v>321</v>
      </c>
      <c r="H672" s="468">
        <v>1</v>
      </c>
      <c r="I672" s="450">
        <v>0.93</v>
      </c>
      <c r="J672" s="450" t="s">
        <v>322</v>
      </c>
      <c r="K672" s="469">
        <v>52</v>
      </c>
      <c r="L672" s="470">
        <v>1</v>
      </c>
      <c r="M672" s="509"/>
    </row>
    <row r="673" spans="1:13" ht="12.75">
      <c r="A673" s="466" t="s">
        <v>318</v>
      </c>
      <c r="B673" s="450" t="s">
        <v>359</v>
      </c>
      <c r="C673" s="458" t="s">
        <v>368</v>
      </c>
      <c r="D673" s="449">
        <v>37173</v>
      </c>
      <c r="E673" s="450" t="s">
        <v>245</v>
      </c>
      <c r="F673" s="467">
        <v>0.4</v>
      </c>
      <c r="G673" s="467" t="s">
        <v>321</v>
      </c>
      <c r="H673" s="468">
        <v>1</v>
      </c>
      <c r="I673" s="450">
        <v>0.4</v>
      </c>
      <c r="J673" s="450" t="s">
        <v>322</v>
      </c>
      <c r="K673" s="469">
        <v>53</v>
      </c>
      <c r="L673" s="470">
        <v>1</v>
      </c>
      <c r="M673" s="509"/>
    </row>
    <row r="674" spans="1:13" ht="12.75">
      <c r="A674" s="466" t="s">
        <v>318</v>
      </c>
      <c r="B674" s="450" t="s">
        <v>359</v>
      </c>
      <c r="C674" s="458" t="s">
        <v>368</v>
      </c>
      <c r="D674" s="449">
        <v>37386</v>
      </c>
      <c r="E674" s="450" t="s">
        <v>245</v>
      </c>
      <c r="F674" s="467">
        <v>0.4</v>
      </c>
      <c r="G674" s="467" t="s">
        <v>321</v>
      </c>
      <c r="H674" s="468">
        <v>1</v>
      </c>
      <c r="I674" s="450">
        <v>0.4</v>
      </c>
      <c r="J674" s="450" t="s">
        <v>322</v>
      </c>
      <c r="K674" s="469">
        <v>53</v>
      </c>
      <c r="L674" s="470">
        <v>1</v>
      </c>
      <c r="M674" s="509"/>
    </row>
    <row r="675" spans="1:13" ht="12.75">
      <c r="A675" s="466" t="s">
        <v>318</v>
      </c>
      <c r="B675" s="450" t="s">
        <v>359</v>
      </c>
      <c r="C675" s="458" t="s">
        <v>368</v>
      </c>
      <c r="D675" s="449">
        <v>37537</v>
      </c>
      <c r="E675" s="450" t="s">
        <v>245</v>
      </c>
      <c r="F675" s="467">
        <v>0.9</v>
      </c>
      <c r="G675" s="467" t="s">
        <v>321</v>
      </c>
      <c r="H675" s="468">
        <v>1</v>
      </c>
      <c r="I675" s="450">
        <v>0.9</v>
      </c>
      <c r="J675" s="450" t="s">
        <v>322</v>
      </c>
      <c r="K675" s="469">
        <v>53</v>
      </c>
      <c r="L675" s="470">
        <v>1</v>
      </c>
      <c r="M675" s="509"/>
    </row>
    <row r="676" spans="1:13" ht="12.75">
      <c r="A676" s="466" t="s">
        <v>318</v>
      </c>
      <c r="B676" s="450" t="s">
        <v>359</v>
      </c>
      <c r="C676" s="458" t="s">
        <v>368</v>
      </c>
      <c r="D676" s="449">
        <v>37743</v>
      </c>
      <c r="E676" s="450" t="s">
        <v>245</v>
      </c>
      <c r="F676" s="467">
        <v>0.9</v>
      </c>
      <c r="G676" s="467" t="s">
        <v>321</v>
      </c>
      <c r="H676" s="468">
        <v>1</v>
      </c>
      <c r="I676" s="450">
        <v>0.9</v>
      </c>
      <c r="J676" s="450" t="s">
        <v>322</v>
      </c>
      <c r="K676" s="469">
        <v>53</v>
      </c>
      <c r="L676" s="470">
        <v>1</v>
      </c>
      <c r="M676" s="509"/>
    </row>
    <row r="677" spans="1:13" ht="12.75">
      <c r="A677" s="466" t="s">
        <v>318</v>
      </c>
      <c r="B677" s="450" t="s">
        <v>359</v>
      </c>
      <c r="C677" s="458" t="s">
        <v>368</v>
      </c>
      <c r="D677" s="449">
        <v>37897</v>
      </c>
      <c r="E677" s="450" t="s">
        <v>245</v>
      </c>
      <c r="F677" s="467">
        <v>0.9</v>
      </c>
      <c r="G677" s="467" t="s">
        <v>321</v>
      </c>
      <c r="H677" s="468">
        <v>1</v>
      </c>
      <c r="I677" s="450">
        <v>0.9</v>
      </c>
      <c r="J677" s="450" t="s">
        <v>322</v>
      </c>
      <c r="K677" s="469">
        <v>53</v>
      </c>
      <c r="L677" s="470">
        <v>1</v>
      </c>
      <c r="M677" s="509"/>
    </row>
    <row r="678" spans="1:13" ht="12.75">
      <c r="A678" s="466" t="s">
        <v>318</v>
      </c>
      <c r="B678" s="450" t="s">
        <v>359</v>
      </c>
      <c r="C678" s="458" t="s">
        <v>368</v>
      </c>
      <c r="D678" s="449">
        <v>38113</v>
      </c>
      <c r="E678" s="450" t="s">
        <v>245</v>
      </c>
      <c r="F678" s="467">
        <v>0.9</v>
      </c>
      <c r="G678" s="467" t="s">
        <v>321</v>
      </c>
      <c r="H678" s="468">
        <v>1</v>
      </c>
      <c r="I678" s="450">
        <v>0.9</v>
      </c>
      <c r="J678" s="450" t="s">
        <v>322</v>
      </c>
      <c r="K678" s="469">
        <v>53</v>
      </c>
      <c r="L678" s="470">
        <v>1</v>
      </c>
      <c r="M678" s="509"/>
    </row>
    <row r="679" spans="1:13" ht="12.75">
      <c r="A679" s="466" t="s">
        <v>318</v>
      </c>
      <c r="B679" s="450" t="s">
        <v>359</v>
      </c>
      <c r="C679" s="458" t="s">
        <v>368</v>
      </c>
      <c r="D679" s="449">
        <v>38273</v>
      </c>
      <c r="E679" s="450" t="s">
        <v>245</v>
      </c>
      <c r="F679" s="467">
        <v>0.98</v>
      </c>
      <c r="G679" s="467" t="s">
        <v>321</v>
      </c>
      <c r="H679" s="468">
        <v>1</v>
      </c>
      <c r="I679" s="450">
        <v>0.98</v>
      </c>
      <c r="J679" s="450" t="s">
        <v>322</v>
      </c>
      <c r="K679" s="469">
        <v>53</v>
      </c>
      <c r="L679" s="470">
        <v>1</v>
      </c>
      <c r="M679" s="509"/>
    </row>
    <row r="680" spans="1:13" ht="12.75">
      <c r="A680" s="466" t="s">
        <v>318</v>
      </c>
      <c r="B680" s="450" t="s">
        <v>359</v>
      </c>
      <c r="C680" s="458" t="s">
        <v>368</v>
      </c>
      <c r="D680" s="449">
        <v>38477</v>
      </c>
      <c r="E680" s="450" t="s">
        <v>245</v>
      </c>
      <c r="F680" s="467">
        <v>0.93</v>
      </c>
      <c r="G680" s="467" t="s">
        <v>321</v>
      </c>
      <c r="H680" s="468">
        <v>1</v>
      </c>
      <c r="I680" s="450">
        <v>0.93</v>
      </c>
      <c r="J680" s="450" t="s">
        <v>322</v>
      </c>
      <c r="K680" s="469">
        <v>53</v>
      </c>
      <c r="L680" s="470">
        <v>1</v>
      </c>
      <c r="M680" s="509"/>
    </row>
    <row r="681" spans="1:13" ht="12.75">
      <c r="A681" s="466" t="s">
        <v>318</v>
      </c>
      <c r="B681" s="450" t="s">
        <v>359</v>
      </c>
      <c r="C681" s="458" t="s">
        <v>368</v>
      </c>
      <c r="D681" s="449">
        <v>38638</v>
      </c>
      <c r="E681" s="450" t="s">
        <v>245</v>
      </c>
      <c r="F681" s="467">
        <v>0.98</v>
      </c>
      <c r="G681" s="467" t="s">
        <v>321</v>
      </c>
      <c r="H681" s="468">
        <v>1</v>
      </c>
      <c r="I681" s="450">
        <v>0.98</v>
      </c>
      <c r="J681" s="450" t="s">
        <v>322</v>
      </c>
      <c r="K681" s="469">
        <v>53</v>
      </c>
      <c r="L681" s="470">
        <v>1</v>
      </c>
      <c r="M681" s="509"/>
    </row>
    <row r="682" spans="1:13" ht="12.75">
      <c r="A682" s="466" t="s">
        <v>318</v>
      </c>
      <c r="B682" s="450" t="s">
        <v>369</v>
      </c>
      <c r="C682" s="488" t="s">
        <v>83</v>
      </c>
      <c r="D682" s="489">
        <v>37173</v>
      </c>
      <c r="E682" s="490" t="s">
        <v>245</v>
      </c>
      <c r="F682" s="491">
        <v>0.2</v>
      </c>
      <c r="G682" s="491" t="s">
        <v>188</v>
      </c>
      <c r="H682" s="468">
        <v>1</v>
      </c>
      <c r="I682" s="492">
        <v>0.2</v>
      </c>
      <c r="J682" s="491"/>
      <c r="K682" s="493">
        <v>54</v>
      </c>
      <c r="L682" s="494">
        <v>1</v>
      </c>
      <c r="M682" s="513"/>
    </row>
    <row r="683" spans="1:13" ht="12.75">
      <c r="A683" s="466" t="s">
        <v>318</v>
      </c>
      <c r="B683" s="450" t="s">
        <v>369</v>
      </c>
      <c r="C683" s="495" t="s">
        <v>83</v>
      </c>
      <c r="D683" s="489">
        <v>37386</v>
      </c>
      <c r="E683" s="496" t="s">
        <v>245</v>
      </c>
      <c r="F683" s="491">
        <v>0.2</v>
      </c>
      <c r="G683" s="497" t="s">
        <v>188</v>
      </c>
      <c r="H683" s="468">
        <v>1</v>
      </c>
      <c r="I683" s="492">
        <v>0.2</v>
      </c>
      <c r="J683" s="497"/>
      <c r="K683" s="493">
        <v>54</v>
      </c>
      <c r="L683" s="498">
        <v>1</v>
      </c>
      <c r="M683" s="513"/>
    </row>
    <row r="684" spans="1:13" ht="12.75">
      <c r="A684" s="466" t="s">
        <v>318</v>
      </c>
      <c r="B684" s="450" t="s">
        <v>369</v>
      </c>
      <c r="C684" s="495" t="s">
        <v>83</v>
      </c>
      <c r="D684" s="489">
        <v>37537</v>
      </c>
      <c r="E684" s="496" t="s">
        <v>245</v>
      </c>
      <c r="F684" s="491">
        <v>0.4</v>
      </c>
      <c r="G684" s="497" t="s">
        <v>188</v>
      </c>
      <c r="H684" s="468">
        <v>1</v>
      </c>
      <c r="I684" s="492">
        <v>0.4</v>
      </c>
      <c r="J684" s="497"/>
      <c r="K684" s="493">
        <v>54</v>
      </c>
      <c r="L684" s="498">
        <v>1</v>
      </c>
      <c r="M684" s="513"/>
    </row>
    <row r="685" spans="1:13" ht="12.75">
      <c r="A685" s="466" t="s">
        <v>318</v>
      </c>
      <c r="B685" s="450" t="s">
        <v>369</v>
      </c>
      <c r="C685" s="495" t="s">
        <v>83</v>
      </c>
      <c r="D685" s="489">
        <v>37743</v>
      </c>
      <c r="E685" s="496" t="s">
        <v>245</v>
      </c>
      <c r="F685" s="491">
        <v>0.4</v>
      </c>
      <c r="G685" s="497" t="s">
        <v>188</v>
      </c>
      <c r="H685" s="468">
        <v>1</v>
      </c>
      <c r="I685" s="492">
        <v>0.4</v>
      </c>
      <c r="J685" s="497"/>
      <c r="K685" s="493">
        <v>54</v>
      </c>
      <c r="L685" s="498">
        <v>1</v>
      </c>
      <c r="M685" s="513"/>
    </row>
    <row r="686" spans="1:13" ht="12.75">
      <c r="A686" s="466" t="s">
        <v>318</v>
      </c>
      <c r="B686" s="450" t="s">
        <v>369</v>
      </c>
      <c r="C686" s="495" t="s">
        <v>83</v>
      </c>
      <c r="D686" s="489">
        <v>37897</v>
      </c>
      <c r="E686" s="496" t="s">
        <v>245</v>
      </c>
      <c r="F686" s="491">
        <v>0.4</v>
      </c>
      <c r="G686" s="497" t="s">
        <v>188</v>
      </c>
      <c r="H686" s="468">
        <v>1</v>
      </c>
      <c r="I686" s="492">
        <v>0.4</v>
      </c>
      <c r="J686" s="497"/>
      <c r="K686" s="493">
        <v>54</v>
      </c>
      <c r="L686" s="498">
        <v>1</v>
      </c>
      <c r="M686" s="513"/>
    </row>
    <row r="687" spans="1:13" ht="12.75">
      <c r="A687" s="466" t="s">
        <v>318</v>
      </c>
      <c r="B687" s="450" t="s">
        <v>369</v>
      </c>
      <c r="C687" s="495" t="s">
        <v>83</v>
      </c>
      <c r="D687" s="489">
        <v>38113</v>
      </c>
      <c r="E687" s="496" t="s">
        <v>245</v>
      </c>
      <c r="F687" s="491">
        <v>0.4</v>
      </c>
      <c r="G687" s="497" t="s">
        <v>188</v>
      </c>
      <c r="H687" s="468">
        <v>1</v>
      </c>
      <c r="I687" s="492">
        <v>0.4</v>
      </c>
      <c r="J687" s="497"/>
      <c r="K687" s="493">
        <v>54</v>
      </c>
      <c r="L687" s="498">
        <v>1</v>
      </c>
      <c r="M687" s="513"/>
    </row>
    <row r="688" spans="1:13" ht="12.75">
      <c r="A688" s="466" t="s">
        <v>318</v>
      </c>
      <c r="B688" s="450" t="s">
        <v>369</v>
      </c>
      <c r="C688" s="499" t="s">
        <v>83</v>
      </c>
      <c r="D688" s="452">
        <v>38273</v>
      </c>
      <c r="E688" s="453" t="s">
        <v>245</v>
      </c>
      <c r="F688" s="460">
        <v>0.8</v>
      </c>
      <c r="G688" s="460" t="s">
        <v>188</v>
      </c>
      <c r="H688" s="468">
        <v>1</v>
      </c>
      <c r="I688" s="500">
        <v>0.8</v>
      </c>
      <c r="J688" s="460"/>
      <c r="K688" s="493">
        <v>54</v>
      </c>
      <c r="L688" s="451">
        <v>1</v>
      </c>
      <c r="M688" s="82"/>
    </row>
    <row r="689" spans="1:13" ht="12.75">
      <c r="A689" s="466" t="s">
        <v>318</v>
      </c>
      <c r="B689" s="450" t="s">
        <v>369</v>
      </c>
      <c r="C689" s="499" t="s">
        <v>83</v>
      </c>
      <c r="D689" s="452">
        <v>38477</v>
      </c>
      <c r="E689" s="453" t="s">
        <v>245</v>
      </c>
      <c r="F689" s="460">
        <v>0.76</v>
      </c>
      <c r="G689" s="460" t="s">
        <v>188</v>
      </c>
      <c r="H689" s="468">
        <v>1</v>
      </c>
      <c r="I689" s="500">
        <v>0.76</v>
      </c>
      <c r="J689" s="460"/>
      <c r="K689" s="493">
        <v>54</v>
      </c>
      <c r="L689" s="451">
        <v>1</v>
      </c>
      <c r="M689" s="82"/>
    </row>
    <row r="690" spans="1:13" ht="12.75">
      <c r="A690" s="466" t="s">
        <v>318</v>
      </c>
      <c r="B690" s="450" t="s">
        <v>369</v>
      </c>
      <c r="C690" s="499" t="s">
        <v>83</v>
      </c>
      <c r="D690" s="452">
        <v>38638</v>
      </c>
      <c r="E690" s="453" t="s">
        <v>245</v>
      </c>
      <c r="F690" s="460">
        <v>0.8</v>
      </c>
      <c r="G690" s="460" t="s">
        <v>188</v>
      </c>
      <c r="H690" s="468">
        <v>1</v>
      </c>
      <c r="I690" s="500">
        <v>0.8</v>
      </c>
      <c r="J690" s="460"/>
      <c r="K690" s="493">
        <v>54</v>
      </c>
      <c r="L690" s="451">
        <v>1</v>
      </c>
      <c r="M690" s="513"/>
    </row>
    <row r="691" spans="1:13" ht="12.75">
      <c r="A691" s="466" t="s">
        <v>318</v>
      </c>
      <c r="B691" s="450" t="s">
        <v>359</v>
      </c>
      <c r="C691" s="458" t="s">
        <v>370</v>
      </c>
      <c r="D691" s="449">
        <v>37173</v>
      </c>
      <c r="E691" s="450" t="s">
        <v>245</v>
      </c>
      <c r="F691" s="467">
        <v>0.2</v>
      </c>
      <c r="G691" s="467" t="s">
        <v>321</v>
      </c>
      <c r="H691" s="468">
        <v>5</v>
      </c>
      <c r="I691" s="450">
        <v>0.2</v>
      </c>
      <c r="J691" s="450" t="s">
        <v>322</v>
      </c>
      <c r="K691" s="469">
        <v>55</v>
      </c>
      <c r="L691" s="470">
        <v>1</v>
      </c>
      <c r="M691" s="509"/>
    </row>
    <row r="692" spans="1:13" ht="12.75">
      <c r="A692" s="466" t="s">
        <v>318</v>
      </c>
      <c r="B692" s="450" t="s">
        <v>359</v>
      </c>
      <c r="C692" s="458" t="s">
        <v>370</v>
      </c>
      <c r="D692" s="449">
        <v>37386</v>
      </c>
      <c r="E692" s="450" t="s">
        <v>245</v>
      </c>
      <c r="F692" s="467">
        <v>0.2</v>
      </c>
      <c r="G692" s="467" t="s">
        <v>321</v>
      </c>
      <c r="H692" s="468">
        <v>5</v>
      </c>
      <c r="I692" s="450">
        <v>0.2</v>
      </c>
      <c r="J692" s="450" t="s">
        <v>322</v>
      </c>
      <c r="K692" s="469">
        <v>55</v>
      </c>
      <c r="L692" s="470">
        <v>1</v>
      </c>
      <c r="M692" s="509"/>
    </row>
    <row r="693" spans="1:13" ht="12.75">
      <c r="A693" s="466" t="s">
        <v>318</v>
      </c>
      <c r="B693" s="450" t="s">
        <v>359</v>
      </c>
      <c r="C693" s="458" t="s">
        <v>370</v>
      </c>
      <c r="D693" s="449">
        <v>37537</v>
      </c>
      <c r="E693" s="450" t="s">
        <v>245</v>
      </c>
      <c r="F693" s="467">
        <v>0.6</v>
      </c>
      <c r="G693" s="467" t="s">
        <v>321</v>
      </c>
      <c r="H693" s="468">
        <v>5</v>
      </c>
      <c r="I693" s="450">
        <v>0.6</v>
      </c>
      <c r="J693" s="450" t="s">
        <v>322</v>
      </c>
      <c r="K693" s="469">
        <v>55</v>
      </c>
      <c r="L693" s="470">
        <v>1</v>
      </c>
      <c r="M693" s="509"/>
    </row>
    <row r="694" spans="1:13" ht="12.75">
      <c r="A694" s="466" t="s">
        <v>318</v>
      </c>
      <c r="B694" s="450" t="s">
        <v>359</v>
      </c>
      <c r="C694" s="458" t="s">
        <v>370</v>
      </c>
      <c r="D694" s="449">
        <v>37743</v>
      </c>
      <c r="E694" s="450" t="s">
        <v>245</v>
      </c>
      <c r="F694" s="467">
        <v>0.6</v>
      </c>
      <c r="G694" s="467" t="s">
        <v>321</v>
      </c>
      <c r="H694" s="468">
        <v>5</v>
      </c>
      <c r="I694" s="450">
        <v>0.6</v>
      </c>
      <c r="J694" s="450" t="s">
        <v>322</v>
      </c>
      <c r="K694" s="469">
        <v>55</v>
      </c>
      <c r="L694" s="470">
        <v>1</v>
      </c>
      <c r="M694" s="509"/>
    </row>
    <row r="695" spans="1:13" ht="12.75">
      <c r="A695" s="466" t="s">
        <v>318</v>
      </c>
      <c r="B695" s="450" t="s">
        <v>359</v>
      </c>
      <c r="C695" s="458" t="s">
        <v>370</v>
      </c>
      <c r="D695" s="449">
        <v>37897</v>
      </c>
      <c r="E695" s="450" t="s">
        <v>245</v>
      </c>
      <c r="F695" s="467">
        <v>0.6</v>
      </c>
      <c r="G695" s="467" t="s">
        <v>321</v>
      </c>
      <c r="H695" s="468">
        <v>5</v>
      </c>
      <c r="I695" s="450">
        <v>0.6</v>
      </c>
      <c r="J695" s="450" t="s">
        <v>322</v>
      </c>
      <c r="K695" s="469">
        <v>55</v>
      </c>
      <c r="L695" s="470">
        <v>1</v>
      </c>
      <c r="M695" s="509"/>
    </row>
    <row r="696" spans="1:13" ht="12.75">
      <c r="A696" s="466" t="s">
        <v>318</v>
      </c>
      <c r="B696" s="450" t="s">
        <v>359</v>
      </c>
      <c r="C696" s="458" t="s">
        <v>370</v>
      </c>
      <c r="D696" s="449">
        <v>38113</v>
      </c>
      <c r="E696" s="450" t="s">
        <v>245</v>
      </c>
      <c r="F696" s="467">
        <v>0.6</v>
      </c>
      <c r="G696" s="467" t="s">
        <v>321</v>
      </c>
      <c r="H696" s="468">
        <v>5</v>
      </c>
      <c r="I696" s="450">
        <v>0.6</v>
      </c>
      <c r="J696" s="450" t="s">
        <v>322</v>
      </c>
      <c r="K696" s="469">
        <v>55</v>
      </c>
      <c r="L696" s="470">
        <v>1</v>
      </c>
      <c r="M696" s="509"/>
    </row>
    <row r="697" spans="1:13" ht="12.75">
      <c r="A697" s="466" t="s">
        <v>318</v>
      </c>
      <c r="B697" s="450" t="s">
        <v>359</v>
      </c>
      <c r="C697" s="458" t="s">
        <v>370</v>
      </c>
      <c r="D697" s="449">
        <v>38273</v>
      </c>
      <c r="E697" s="450" t="s">
        <v>245</v>
      </c>
      <c r="F697" s="467">
        <v>2</v>
      </c>
      <c r="G697" s="467" t="s">
        <v>321</v>
      </c>
      <c r="H697" s="468">
        <v>5</v>
      </c>
      <c r="I697" s="450">
        <v>2</v>
      </c>
      <c r="J697" s="450" t="s">
        <v>322</v>
      </c>
      <c r="K697" s="469">
        <v>55</v>
      </c>
      <c r="L697" s="470">
        <v>1</v>
      </c>
      <c r="M697" s="509"/>
    </row>
    <row r="698" spans="1:13" ht="12.75">
      <c r="A698" s="466" t="s">
        <v>318</v>
      </c>
      <c r="B698" s="450" t="s">
        <v>359</v>
      </c>
      <c r="C698" s="458" t="s">
        <v>370</v>
      </c>
      <c r="D698" s="449">
        <v>38477</v>
      </c>
      <c r="E698" s="450" t="s">
        <v>245</v>
      </c>
      <c r="F698" s="467">
        <v>1.9</v>
      </c>
      <c r="G698" s="467" t="s">
        <v>321</v>
      </c>
      <c r="H698" s="468">
        <v>5</v>
      </c>
      <c r="I698" s="450">
        <v>1.9</v>
      </c>
      <c r="J698" s="450" t="s">
        <v>322</v>
      </c>
      <c r="K698" s="469">
        <v>55</v>
      </c>
      <c r="L698" s="470">
        <v>1</v>
      </c>
      <c r="M698" s="509"/>
    </row>
    <row r="699" spans="1:13" ht="12.75">
      <c r="A699" s="466" t="s">
        <v>318</v>
      </c>
      <c r="B699" s="450" t="s">
        <v>359</v>
      </c>
      <c r="C699" s="458" t="s">
        <v>370</v>
      </c>
      <c r="D699" s="449">
        <v>38638</v>
      </c>
      <c r="E699" s="450" t="s">
        <v>245</v>
      </c>
      <c r="F699" s="467">
        <v>2</v>
      </c>
      <c r="G699" s="467" t="s">
        <v>321</v>
      </c>
      <c r="H699" s="468">
        <v>5</v>
      </c>
      <c r="I699" s="450">
        <v>2</v>
      </c>
      <c r="J699" s="450" t="s">
        <v>322</v>
      </c>
      <c r="K699" s="469">
        <v>55</v>
      </c>
      <c r="L699" s="470">
        <v>1</v>
      </c>
      <c r="M699" s="509"/>
    </row>
    <row r="700" spans="1:13" ht="12.75">
      <c r="A700" s="466" t="s">
        <v>318</v>
      </c>
      <c r="B700" s="450" t="s">
        <v>371</v>
      </c>
      <c r="C700" s="458" t="s">
        <v>372</v>
      </c>
      <c r="D700" s="449">
        <v>37386</v>
      </c>
      <c r="E700" s="450" t="s">
        <v>245</v>
      </c>
      <c r="F700" s="467">
        <v>0.17</v>
      </c>
      <c r="G700" s="467" t="s">
        <v>321</v>
      </c>
      <c r="H700" s="468">
        <v>0.3</v>
      </c>
      <c r="I700" s="450">
        <v>0.17</v>
      </c>
      <c r="J700" s="450" t="s">
        <v>322</v>
      </c>
      <c r="K700" s="469">
        <v>56</v>
      </c>
      <c r="L700" s="470">
        <v>1</v>
      </c>
      <c r="M700" s="509"/>
    </row>
    <row r="701" spans="1:13" ht="12.75">
      <c r="A701" s="466" t="s">
        <v>318</v>
      </c>
      <c r="B701" s="450" t="s">
        <v>371</v>
      </c>
      <c r="C701" s="458" t="s">
        <v>372</v>
      </c>
      <c r="D701" s="449">
        <v>37537</v>
      </c>
      <c r="E701" s="450" t="s">
        <v>245</v>
      </c>
      <c r="F701" s="467">
        <v>0.17</v>
      </c>
      <c r="G701" s="467" t="s">
        <v>321</v>
      </c>
      <c r="H701" s="468">
        <v>0.3</v>
      </c>
      <c r="I701" s="450">
        <v>0.17</v>
      </c>
      <c r="J701" s="450" t="s">
        <v>322</v>
      </c>
      <c r="K701" s="469">
        <v>56</v>
      </c>
      <c r="L701" s="470">
        <v>1</v>
      </c>
      <c r="M701" s="509"/>
    </row>
    <row r="702" spans="1:13" ht="12.75">
      <c r="A702" s="466" t="s">
        <v>318</v>
      </c>
      <c r="B702" s="450" t="s">
        <v>371</v>
      </c>
      <c r="C702" s="458" t="s">
        <v>372</v>
      </c>
      <c r="D702" s="449">
        <v>37743</v>
      </c>
      <c r="E702" s="450" t="s">
        <v>245</v>
      </c>
      <c r="F702" s="467">
        <v>0.17</v>
      </c>
      <c r="G702" s="467" t="s">
        <v>321</v>
      </c>
      <c r="H702" s="468">
        <v>0.3</v>
      </c>
      <c r="I702" s="450">
        <v>0.17</v>
      </c>
      <c r="J702" s="450" t="s">
        <v>322</v>
      </c>
      <c r="K702" s="469">
        <v>56</v>
      </c>
      <c r="L702" s="470">
        <v>1</v>
      </c>
      <c r="M702" s="509"/>
    </row>
    <row r="703" spans="1:13" ht="12.75">
      <c r="A703" s="466" t="s">
        <v>318</v>
      </c>
      <c r="B703" s="450" t="s">
        <v>371</v>
      </c>
      <c r="C703" s="458" t="s">
        <v>372</v>
      </c>
      <c r="D703" s="449">
        <v>37897</v>
      </c>
      <c r="E703" s="450" t="s">
        <v>245</v>
      </c>
      <c r="F703" s="467">
        <v>0.17</v>
      </c>
      <c r="G703" s="467" t="s">
        <v>321</v>
      </c>
      <c r="H703" s="468">
        <v>0.3</v>
      </c>
      <c r="I703" s="450">
        <v>0.17</v>
      </c>
      <c r="J703" s="450" t="s">
        <v>322</v>
      </c>
      <c r="K703" s="469">
        <v>56</v>
      </c>
      <c r="L703" s="470">
        <v>1</v>
      </c>
      <c r="M703" s="509"/>
    </row>
    <row r="704" spans="1:13" ht="12.75">
      <c r="A704" s="466" t="s">
        <v>318</v>
      </c>
      <c r="B704" s="450" t="s">
        <v>371</v>
      </c>
      <c r="C704" s="458" t="s">
        <v>372</v>
      </c>
      <c r="D704" s="449">
        <v>38113</v>
      </c>
      <c r="E704" s="450" t="s">
        <v>245</v>
      </c>
      <c r="F704" s="467">
        <v>0.17</v>
      </c>
      <c r="G704" s="467" t="s">
        <v>321</v>
      </c>
      <c r="H704" s="468">
        <v>0.3</v>
      </c>
      <c r="I704" s="450">
        <v>0.17</v>
      </c>
      <c r="J704" s="450" t="s">
        <v>322</v>
      </c>
      <c r="K704" s="469">
        <v>56</v>
      </c>
      <c r="L704" s="470">
        <v>1</v>
      </c>
      <c r="M704" s="509"/>
    </row>
    <row r="705" spans="1:13" ht="12.75">
      <c r="A705" s="466" t="s">
        <v>318</v>
      </c>
      <c r="B705" s="450" t="s">
        <v>371</v>
      </c>
      <c r="C705" s="458" t="s">
        <v>372</v>
      </c>
      <c r="D705" s="449">
        <v>38273</v>
      </c>
      <c r="E705" s="450" t="s">
        <v>245</v>
      </c>
      <c r="F705" s="467">
        <v>0.03</v>
      </c>
      <c r="G705" s="467" t="s">
        <v>321</v>
      </c>
      <c r="H705" s="468">
        <v>0.3</v>
      </c>
      <c r="I705" s="450">
        <v>0.03</v>
      </c>
      <c r="J705" s="450" t="s">
        <v>322</v>
      </c>
      <c r="K705" s="469">
        <v>56</v>
      </c>
      <c r="L705" s="470">
        <v>1</v>
      </c>
      <c r="M705" s="509"/>
    </row>
    <row r="706" spans="1:13" ht="12.75">
      <c r="A706" s="466" t="s">
        <v>318</v>
      </c>
      <c r="B706" s="450" t="s">
        <v>371</v>
      </c>
      <c r="C706" s="458" t="s">
        <v>372</v>
      </c>
      <c r="D706" s="449">
        <v>38477</v>
      </c>
      <c r="E706" s="450" t="s">
        <v>245</v>
      </c>
      <c r="F706" s="467">
        <v>0.029</v>
      </c>
      <c r="G706" s="467" t="s">
        <v>321</v>
      </c>
      <c r="H706" s="468">
        <v>0.3</v>
      </c>
      <c r="I706" s="450">
        <v>0.029</v>
      </c>
      <c r="J706" s="450" t="s">
        <v>322</v>
      </c>
      <c r="K706" s="469">
        <v>56</v>
      </c>
      <c r="L706" s="470">
        <v>1</v>
      </c>
      <c r="M706" s="509"/>
    </row>
    <row r="707" spans="1:13" ht="12.75">
      <c r="A707" s="466" t="s">
        <v>318</v>
      </c>
      <c r="B707" s="450" t="s">
        <v>371</v>
      </c>
      <c r="C707" s="458" t="s">
        <v>372</v>
      </c>
      <c r="D707" s="449">
        <v>38638</v>
      </c>
      <c r="E707" s="450" t="s">
        <v>245</v>
      </c>
      <c r="F707" s="467">
        <v>0.03</v>
      </c>
      <c r="G707" s="467" t="s">
        <v>321</v>
      </c>
      <c r="H707" s="468">
        <v>0.3</v>
      </c>
      <c r="I707" s="450">
        <v>0.03</v>
      </c>
      <c r="J707" s="450" t="s">
        <v>322</v>
      </c>
      <c r="K707" s="469">
        <v>56</v>
      </c>
      <c r="L707" s="470">
        <v>1</v>
      </c>
      <c r="M707" s="509"/>
    </row>
    <row r="708" spans="1:13" ht="12.75">
      <c r="A708" s="466" t="s">
        <v>318</v>
      </c>
      <c r="B708" s="450" t="s">
        <v>373</v>
      </c>
      <c r="C708" s="458" t="s">
        <v>374</v>
      </c>
      <c r="D708" s="449">
        <v>36802</v>
      </c>
      <c r="E708" s="450" t="s">
        <v>245</v>
      </c>
      <c r="F708" s="467">
        <v>0.3</v>
      </c>
      <c r="G708" s="467" t="s">
        <v>321</v>
      </c>
      <c r="H708" s="468" t="s">
        <v>322</v>
      </c>
      <c r="I708" s="450" t="s">
        <v>322</v>
      </c>
      <c r="J708" s="450" t="s">
        <v>322</v>
      </c>
      <c r="K708" s="469">
        <v>57</v>
      </c>
      <c r="L708" s="470" t="s">
        <v>322</v>
      </c>
      <c r="M708" s="509"/>
    </row>
    <row r="709" spans="1:13" ht="12.75">
      <c r="A709" s="466" t="s">
        <v>318</v>
      </c>
      <c r="B709" s="450" t="s">
        <v>371</v>
      </c>
      <c r="C709" s="458" t="s">
        <v>374</v>
      </c>
      <c r="D709" s="449">
        <v>37386</v>
      </c>
      <c r="E709" s="450" t="s">
        <v>245</v>
      </c>
      <c r="F709" s="467">
        <v>0.03</v>
      </c>
      <c r="G709" s="467" t="s">
        <v>321</v>
      </c>
      <c r="H709" s="468">
        <v>0.2</v>
      </c>
      <c r="I709" s="450">
        <v>0.03</v>
      </c>
      <c r="J709" s="450" t="s">
        <v>322</v>
      </c>
      <c r="K709" s="469">
        <v>57</v>
      </c>
      <c r="L709" s="470">
        <v>1</v>
      </c>
      <c r="M709" s="509"/>
    </row>
    <row r="710" spans="1:13" ht="12.75">
      <c r="A710" s="466" t="s">
        <v>318</v>
      </c>
      <c r="B710" s="450" t="s">
        <v>371</v>
      </c>
      <c r="C710" s="458" t="s">
        <v>374</v>
      </c>
      <c r="D710" s="449">
        <v>37537</v>
      </c>
      <c r="E710" s="450" t="s">
        <v>245</v>
      </c>
      <c r="F710" s="467">
        <v>0.03</v>
      </c>
      <c r="G710" s="467" t="s">
        <v>321</v>
      </c>
      <c r="H710" s="468">
        <v>0.2</v>
      </c>
      <c r="I710" s="450">
        <v>0.03</v>
      </c>
      <c r="J710" s="450" t="s">
        <v>322</v>
      </c>
      <c r="K710" s="469">
        <v>57</v>
      </c>
      <c r="L710" s="470">
        <v>1</v>
      </c>
      <c r="M710" s="509"/>
    </row>
    <row r="711" spans="1:13" ht="12.75">
      <c r="A711" s="466" t="s">
        <v>318</v>
      </c>
      <c r="B711" s="450" t="s">
        <v>371</v>
      </c>
      <c r="C711" s="458" t="s">
        <v>374</v>
      </c>
      <c r="D711" s="449">
        <v>37743</v>
      </c>
      <c r="E711" s="450" t="s">
        <v>245</v>
      </c>
      <c r="F711" s="467">
        <v>0.03</v>
      </c>
      <c r="G711" s="467" t="s">
        <v>321</v>
      </c>
      <c r="H711" s="468">
        <v>0.2</v>
      </c>
      <c r="I711" s="450">
        <v>0.03</v>
      </c>
      <c r="J711" s="450" t="s">
        <v>322</v>
      </c>
      <c r="K711" s="469">
        <v>57</v>
      </c>
      <c r="L711" s="470">
        <v>1</v>
      </c>
      <c r="M711" s="509"/>
    </row>
    <row r="712" spans="1:13" ht="12.75">
      <c r="A712" s="466" t="s">
        <v>318</v>
      </c>
      <c r="B712" s="450" t="s">
        <v>371</v>
      </c>
      <c r="C712" s="458" t="s">
        <v>374</v>
      </c>
      <c r="D712" s="449">
        <v>37897</v>
      </c>
      <c r="E712" s="450" t="s">
        <v>245</v>
      </c>
      <c r="F712" s="467">
        <v>0.03</v>
      </c>
      <c r="G712" s="467" t="s">
        <v>321</v>
      </c>
      <c r="H712" s="468">
        <v>0.2</v>
      </c>
      <c r="I712" s="450">
        <v>0.03</v>
      </c>
      <c r="J712" s="450" t="s">
        <v>322</v>
      </c>
      <c r="K712" s="469">
        <v>57</v>
      </c>
      <c r="L712" s="470">
        <v>1</v>
      </c>
      <c r="M712" s="509"/>
    </row>
    <row r="713" spans="1:13" ht="12.75">
      <c r="A713" s="466" t="s">
        <v>318</v>
      </c>
      <c r="B713" s="450" t="s">
        <v>371</v>
      </c>
      <c r="C713" s="458" t="s">
        <v>374</v>
      </c>
      <c r="D713" s="449">
        <v>38113</v>
      </c>
      <c r="E713" s="450" t="s">
        <v>245</v>
      </c>
      <c r="F713" s="467">
        <v>0.03</v>
      </c>
      <c r="G713" s="467" t="s">
        <v>321</v>
      </c>
      <c r="H713" s="468">
        <v>0.2</v>
      </c>
      <c r="I713" s="450">
        <v>0.03</v>
      </c>
      <c r="J713" s="450" t="s">
        <v>322</v>
      </c>
      <c r="K713" s="469">
        <v>57</v>
      </c>
      <c r="L713" s="470">
        <v>1</v>
      </c>
      <c r="M713" s="509"/>
    </row>
    <row r="714" spans="1:13" ht="12.75">
      <c r="A714" s="466" t="s">
        <v>318</v>
      </c>
      <c r="B714" s="450" t="s">
        <v>371</v>
      </c>
      <c r="C714" s="458" t="s">
        <v>374</v>
      </c>
      <c r="D714" s="449">
        <v>38273</v>
      </c>
      <c r="E714" s="450" t="s">
        <v>245</v>
      </c>
      <c r="F714" s="467">
        <v>0.02</v>
      </c>
      <c r="G714" s="467" t="s">
        <v>321</v>
      </c>
      <c r="H714" s="468">
        <v>0.2</v>
      </c>
      <c r="I714" s="450">
        <v>0.02</v>
      </c>
      <c r="J714" s="450" t="s">
        <v>322</v>
      </c>
      <c r="K714" s="469">
        <v>57</v>
      </c>
      <c r="L714" s="470">
        <v>1</v>
      </c>
      <c r="M714" s="509"/>
    </row>
    <row r="715" spans="1:13" ht="12.75">
      <c r="A715" s="466" t="s">
        <v>318</v>
      </c>
      <c r="B715" s="450" t="s">
        <v>371</v>
      </c>
      <c r="C715" s="458" t="s">
        <v>374</v>
      </c>
      <c r="D715" s="449">
        <v>38477</v>
      </c>
      <c r="E715" s="450" t="s">
        <v>245</v>
      </c>
      <c r="F715" s="467">
        <v>0.019</v>
      </c>
      <c r="G715" s="467" t="s">
        <v>321</v>
      </c>
      <c r="H715" s="468">
        <v>0.2</v>
      </c>
      <c r="I715" s="450">
        <v>0.019</v>
      </c>
      <c r="J715" s="450" t="s">
        <v>322</v>
      </c>
      <c r="K715" s="469">
        <v>57</v>
      </c>
      <c r="L715" s="470">
        <v>1</v>
      </c>
      <c r="M715" s="509"/>
    </row>
    <row r="716" spans="1:13" ht="12.75">
      <c r="A716" s="466" t="s">
        <v>318</v>
      </c>
      <c r="B716" s="450" t="s">
        <v>371</v>
      </c>
      <c r="C716" s="458" t="s">
        <v>374</v>
      </c>
      <c r="D716" s="449">
        <v>38638</v>
      </c>
      <c r="E716" s="450" t="s">
        <v>245</v>
      </c>
      <c r="F716" s="467">
        <v>0.02</v>
      </c>
      <c r="G716" s="467" t="s">
        <v>321</v>
      </c>
      <c r="H716" s="468">
        <v>0.2</v>
      </c>
      <c r="I716" s="450">
        <v>0.02</v>
      </c>
      <c r="J716" s="450" t="s">
        <v>322</v>
      </c>
      <c r="K716" s="469">
        <v>57</v>
      </c>
      <c r="L716" s="470">
        <v>1</v>
      </c>
      <c r="M716" s="509"/>
    </row>
    <row r="717" spans="1:13" ht="12.75">
      <c r="A717" s="466" t="s">
        <v>318</v>
      </c>
      <c r="B717" s="450" t="s">
        <v>373</v>
      </c>
      <c r="C717" s="458" t="s">
        <v>86</v>
      </c>
      <c r="D717" s="449">
        <v>36802</v>
      </c>
      <c r="E717" s="450" t="s">
        <v>245</v>
      </c>
      <c r="F717" s="467">
        <v>0.3</v>
      </c>
      <c r="G717" s="467" t="s">
        <v>321</v>
      </c>
      <c r="H717" s="468" t="s">
        <v>322</v>
      </c>
      <c r="I717" s="450" t="s">
        <v>322</v>
      </c>
      <c r="J717" s="450" t="s">
        <v>322</v>
      </c>
      <c r="K717" s="469">
        <v>58</v>
      </c>
      <c r="L717" s="470" t="s">
        <v>322</v>
      </c>
      <c r="M717" s="509"/>
    </row>
    <row r="718" spans="1:13" ht="12.75">
      <c r="A718" s="466" t="s">
        <v>318</v>
      </c>
      <c r="B718" s="450" t="s">
        <v>371</v>
      </c>
      <c r="C718" s="458" t="s">
        <v>86</v>
      </c>
      <c r="D718" s="449">
        <v>37386</v>
      </c>
      <c r="E718" s="450" t="s">
        <v>245</v>
      </c>
      <c r="F718" s="467">
        <v>0.16</v>
      </c>
      <c r="G718" s="467" t="s">
        <v>321</v>
      </c>
      <c r="H718" s="468">
        <v>0.3</v>
      </c>
      <c r="I718" s="450">
        <v>0.16</v>
      </c>
      <c r="J718" s="450" t="s">
        <v>322</v>
      </c>
      <c r="K718" s="469">
        <v>58</v>
      </c>
      <c r="L718" s="470">
        <v>1</v>
      </c>
      <c r="M718" s="509"/>
    </row>
    <row r="719" spans="1:13" ht="12.75">
      <c r="A719" s="466" t="s">
        <v>318</v>
      </c>
      <c r="B719" s="450" t="s">
        <v>371</v>
      </c>
      <c r="C719" s="458" t="s">
        <v>86</v>
      </c>
      <c r="D719" s="449">
        <v>37537</v>
      </c>
      <c r="E719" s="450" t="s">
        <v>245</v>
      </c>
      <c r="F719" s="467">
        <v>0.16</v>
      </c>
      <c r="G719" s="467" t="s">
        <v>321</v>
      </c>
      <c r="H719" s="468">
        <v>0.3</v>
      </c>
      <c r="I719" s="450">
        <v>0.16</v>
      </c>
      <c r="J719" s="450" t="s">
        <v>322</v>
      </c>
      <c r="K719" s="469">
        <v>58</v>
      </c>
      <c r="L719" s="470">
        <v>1</v>
      </c>
      <c r="M719" s="509"/>
    </row>
    <row r="720" spans="1:13" ht="12.75">
      <c r="A720" s="466" t="s">
        <v>318</v>
      </c>
      <c r="B720" s="450" t="s">
        <v>371</v>
      </c>
      <c r="C720" s="458" t="s">
        <v>86</v>
      </c>
      <c r="D720" s="449">
        <v>37743</v>
      </c>
      <c r="E720" s="450" t="s">
        <v>245</v>
      </c>
      <c r="F720" s="467">
        <v>0.16</v>
      </c>
      <c r="G720" s="467" t="s">
        <v>321</v>
      </c>
      <c r="H720" s="468">
        <v>0.3</v>
      </c>
      <c r="I720" s="450">
        <v>0.16</v>
      </c>
      <c r="J720" s="450" t="s">
        <v>322</v>
      </c>
      <c r="K720" s="469">
        <v>58</v>
      </c>
      <c r="L720" s="470">
        <v>1</v>
      </c>
      <c r="M720" s="509"/>
    </row>
    <row r="721" spans="1:13" ht="12.75">
      <c r="A721" s="466" t="s">
        <v>318</v>
      </c>
      <c r="B721" s="450" t="s">
        <v>371</v>
      </c>
      <c r="C721" s="458" t="s">
        <v>86</v>
      </c>
      <c r="D721" s="449">
        <v>37897</v>
      </c>
      <c r="E721" s="450" t="s">
        <v>245</v>
      </c>
      <c r="F721" s="467">
        <v>0.16</v>
      </c>
      <c r="G721" s="467" t="s">
        <v>321</v>
      </c>
      <c r="H721" s="468">
        <v>0.3</v>
      </c>
      <c r="I721" s="450">
        <v>0.16</v>
      </c>
      <c r="J721" s="450" t="s">
        <v>322</v>
      </c>
      <c r="K721" s="469">
        <v>58</v>
      </c>
      <c r="L721" s="470">
        <v>1</v>
      </c>
      <c r="M721" s="509"/>
    </row>
    <row r="722" spans="1:13" ht="12.75">
      <c r="A722" s="466" t="s">
        <v>318</v>
      </c>
      <c r="B722" s="450" t="s">
        <v>371</v>
      </c>
      <c r="C722" s="458" t="s">
        <v>86</v>
      </c>
      <c r="D722" s="449">
        <v>38113</v>
      </c>
      <c r="E722" s="450" t="s">
        <v>245</v>
      </c>
      <c r="F722" s="467">
        <v>0.16</v>
      </c>
      <c r="G722" s="467" t="s">
        <v>321</v>
      </c>
      <c r="H722" s="468">
        <v>0.3</v>
      </c>
      <c r="I722" s="450">
        <v>0.16</v>
      </c>
      <c r="J722" s="450" t="s">
        <v>322</v>
      </c>
      <c r="K722" s="469">
        <v>58</v>
      </c>
      <c r="L722" s="470">
        <v>1</v>
      </c>
      <c r="M722" s="509"/>
    </row>
    <row r="723" spans="1:13" ht="12.75">
      <c r="A723" s="466" t="s">
        <v>318</v>
      </c>
      <c r="B723" s="450" t="s">
        <v>371</v>
      </c>
      <c r="C723" s="458" t="s">
        <v>86</v>
      </c>
      <c r="D723" s="449">
        <v>38273</v>
      </c>
      <c r="E723" s="450" t="s">
        <v>245</v>
      </c>
      <c r="F723" s="467">
        <v>0.03</v>
      </c>
      <c r="G723" s="467" t="s">
        <v>321</v>
      </c>
      <c r="H723" s="468">
        <v>0.3</v>
      </c>
      <c r="I723" s="450">
        <v>0.03</v>
      </c>
      <c r="J723" s="450" t="s">
        <v>322</v>
      </c>
      <c r="K723" s="469">
        <v>58</v>
      </c>
      <c r="L723" s="470">
        <v>1</v>
      </c>
      <c r="M723" s="509"/>
    </row>
    <row r="724" spans="1:13" ht="12.75">
      <c r="A724" s="466" t="s">
        <v>318</v>
      </c>
      <c r="B724" s="450" t="s">
        <v>371</v>
      </c>
      <c r="C724" s="458" t="s">
        <v>86</v>
      </c>
      <c r="D724" s="449">
        <v>38477</v>
      </c>
      <c r="E724" s="450" t="s">
        <v>245</v>
      </c>
      <c r="F724" s="467">
        <v>0.029</v>
      </c>
      <c r="G724" s="467" t="s">
        <v>321</v>
      </c>
      <c r="H724" s="468">
        <v>0.3</v>
      </c>
      <c r="I724" s="450">
        <v>0.029</v>
      </c>
      <c r="J724" s="450" t="s">
        <v>322</v>
      </c>
      <c r="K724" s="469">
        <v>58</v>
      </c>
      <c r="L724" s="470">
        <v>1</v>
      </c>
      <c r="M724" s="509"/>
    </row>
    <row r="725" spans="1:13" ht="12.75">
      <c r="A725" s="466" t="s">
        <v>318</v>
      </c>
      <c r="B725" s="450" t="s">
        <v>371</v>
      </c>
      <c r="C725" s="458" t="s">
        <v>86</v>
      </c>
      <c r="D725" s="449">
        <v>38638</v>
      </c>
      <c r="E725" s="450" t="s">
        <v>245</v>
      </c>
      <c r="F725" s="467">
        <v>0.03</v>
      </c>
      <c r="G725" s="467" t="s">
        <v>321</v>
      </c>
      <c r="H725" s="468">
        <v>0.3</v>
      </c>
      <c r="I725" s="450">
        <v>0.03</v>
      </c>
      <c r="J725" s="450" t="s">
        <v>322</v>
      </c>
      <c r="K725" s="469">
        <v>58</v>
      </c>
      <c r="L725" s="470">
        <v>1</v>
      </c>
      <c r="M725" s="509"/>
    </row>
    <row r="726" spans="1:13" ht="12.75">
      <c r="A726" s="466" t="s">
        <v>318</v>
      </c>
      <c r="B726" s="450" t="s">
        <v>359</v>
      </c>
      <c r="C726" s="458" t="s">
        <v>87</v>
      </c>
      <c r="D726" s="449">
        <v>37173</v>
      </c>
      <c r="E726" s="450" t="s">
        <v>245</v>
      </c>
      <c r="F726" s="467">
        <v>0.3</v>
      </c>
      <c r="G726" s="467" t="s">
        <v>321</v>
      </c>
      <c r="H726" s="468">
        <v>5</v>
      </c>
      <c r="I726" s="450">
        <v>0.3</v>
      </c>
      <c r="J726" s="450" t="s">
        <v>322</v>
      </c>
      <c r="K726" s="469">
        <v>59</v>
      </c>
      <c r="L726" s="470">
        <v>1</v>
      </c>
      <c r="M726" s="509"/>
    </row>
    <row r="727" spans="1:13" ht="12.75">
      <c r="A727" s="466" t="s">
        <v>318</v>
      </c>
      <c r="B727" s="450" t="s">
        <v>359</v>
      </c>
      <c r="C727" s="458" t="s">
        <v>87</v>
      </c>
      <c r="D727" s="449">
        <v>37386</v>
      </c>
      <c r="E727" s="450" t="s">
        <v>245</v>
      </c>
      <c r="F727" s="467">
        <v>0.3</v>
      </c>
      <c r="G727" s="467" t="s">
        <v>321</v>
      </c>
      <c r="H727" s="468">
        <v>5</v>
      </c>
      <c r="I727" s="450">
        <v>0.3</v>
      </c>
      <c r="J727" s="450" t="s">
        <v>322</v>
      </c>
      <c r="K727" s="469">
        <v>59</v>
      </c>
      <c r="L727" s="470">
        <v>1</v>
      </c>
      <c r="M727" s="509"/>
    </row>
    <row r="728" spans="1:13" ht="12.75">
      <c r="A728" s="466" t="s">
        <v>318</v>
      </c>
      <c r="B728" s="450" t="s">
        <v>359</v>
      </c>
      <c r="C728" s="458" t="s">
        <v>87</v>
      </c>
      <c r="D728" s="449">
        <v>37537</v>
      </c>
      <c r="E728" s="450" t="s">
        <v>245</v>
      </c>
      <c r="F728" s="467">
        <v>1</v>
      </c>
      <c r="G728" s="467" t="s">
        <v>321</v>
      </c>
      <c r="H728" s="468">
        <v>5</v>
      </c>
      <c r="I728" s="450">
        <v>1</v>
      </c>
      <c r="J728" s="450" t="s">
        <v>322</v>
      </c>
      <c r="K728" s="469">
        <v>59</v>
      </c>
      <c r="L728" s="470">
        <v>1</v>
      </c>
      <c r="M728" s="509"/>
    </row>
    <row r="729" spans="1:13" ht="12.75">
      <c r="A729" s="466" t="s">
        <v>318</v>
      </c>
      <c r="B729" s="450" t="s">
        <v>359</v>
      </c>
      <c r="C729" s="458" t="s">
        <v>87</v>
      </c>
      <c r="D729" s="449">
        <v>37743</v>
      </c>
      <c r="E729" s="450" t="s">
        <v>245</v>
      </c>
      <c r="F729" s="467">
        <v>1</v>
      </c>
      <c r="G729" s="467" t="s">
        <v>321</v>
      </c>
      <c r="H729" s="468">
        <v>5</v>
      </c>
      <c r="I729" s="450">
        <v>1</v>
      </c>
      <c r="J729" s="450" t="s">
        <v>322</v>
      </c>
      <c r="K729" s="469">
        <v>59</v>
      </c>
      <c r="L729" s="470">
        <v>1</v>
      </c>
      <c r="M729" s="509"/>
    </row>
    <row r="730" spans="1:13" ht="12.75">
      <c r="A730" s="466" t="s">
        <v>318</v>
      </c>
      <c r="B730" s="450" t="s">
        <v>359</v>
      </c>
      <c r="C730" s="458" t="s">
        <v>87</v>
      </c>
      <c r="D730" s="449">
        <v>37897</v>
      </c>
      <c r="E730" s="450" t="s">
        <v>245</v>
      </c>
      <c r="F730" s="467">
        <v>1</v>
      </c>
      <c r="G730" s="467" t="s">
        <v>321</v>
      </c>
      <c r="H730" s="468">
        <v>5</v>
      </c>
      <c r="I730" s="450">
        <v>1</v>
      </c>
      <c r="J730" s="450" t="s">
        <v>322</v>
      </c>
      <c r="K730" s="469">
        <v>59</v>
      </c>
      <c r="L730" s="470">
        <v>1</v>
      </c>
      <c r="M730" s="509"/>
    </row>
    <row r="731" spans="1:13" ht="12.75">
      <c r="A731" s="466" t="s">
        <v>318</v>
      </c>
      <c r="B731" s="450" t="s">
        <v>359</v>
      </c>
      <c r="C731" s="458" t="s">
        <v>87</v>
      </c>
      <c r="D731" s="449">
        <v>38113</v>
      </c>
      <c r="E731" s="450" t="s">
        <v>245</v>
      </c>
      <c r="F731" s="467">
        <v>1</v>
      </c>
      <c r="G731" s="467" t="s">
        <v>321</v>
      </c>
      <c r="H731" s="468">
        <v>5</v>
      </c>
      <c r="I731" s="450">
        <v>1</v>
      </c>
      <c r="J731" s="450" t="s">
        <v>322</v>
      </c>
      <c r="K731" s="469">
        <v>59</v>
      </c>
      <c r="L731" s="470">
        <v>1</v>
      </c>
      <c r="M731" s="509"/>
    </row>
    <row r="732" spans="1:13" ht="12.75">
      <c r="A732" s="466" t="s">
        <v>318</v>
      </c>
      <c r="B732" s="450" t="s">
        <v>359</v>
      </c>
      <c r="C732" s="458" t="s">
        <v>87</v>
      </c>
      <c r="D732" s="449">
        <v>38273</v>
      </c>
      <c r="E732" s="450" t="s">
        <v>245</v>
      </c>
      <c r="F732" s="467">
        <v>1</v>
      </c>
      <c r="G732" s="467" t="s">
        <v>321</v>
      </c>
      <c r="H732" s="468">
        <v>5</v>
      </c>
      <c r="I732" s="450">
        <v>1</v>
      </c>
      <c r="J732" s="450" t="s">
        <v>322</v>
      </c>
      <c r="K732" s="469">
        <v>59</v>
      </c>
      <c r="L732" s="470">
        <v>1</v>
      </c>
      <c r="M732" s="509"/>
    </row>
    <row r="733" spans="1:13" ht="12.75">
      <c r="A733" s="466" t="s">
        <v>318</v>
      </c>
      <c r="B733" s="450" t="s">
        <v>359</v>
      </c>
      <c r="C733" s="458" t="s">
        <v>87</v>
      </c>
      <c r="D733" s="449">
        <v>38477</v>
      </c>
      <c r="E733" s="450" t="s">
        <v>245</v>
      </c>
      <c r="F733" s="467">
        <v>0.95</v>
      </c>
      <c r="G733" s="467" t="s">
        <v>321</v>
      </c>
      <c r="H733" s="468">
        <v>5</v>
      </c>
      <c r="I733" s="450">
        <v>0.95</v>
      </c>
      <c r="J733" s="450" t="s">
        <v>322</v>
      </c>
      <c r="K733" s="469">
        <v>59</v>
      </c>
      <c r="L733" s="470">
        <v>1</v>
      </c>
      <c r="M733" s="509"/>
    </row>
    <row r="734" spans="1:13" ht="12.75">
      <c r="A734" s="466" t="s">
        <v>318</v>
      </c>
      <c r="B734" s="450" t="s">
        <v>359</v>
      </c>
      <c r="C734" s="458" t="s">
        <v>87</v>
      </c>
      <c r="D734" s="449">
        <v>38638</v>
      </c>
      <c r="E734" s="450" t="s">
        <v>245</v>
      </c>
      <c r="F734" s="467">
        <v>1</v>
      </c>
      <c r="G734" s="467" t="s">
        <v>321</v>
      </c>
      <c r="H734" s="468">
        <v>5</v>
      </c>
      <c r="I734" s="450">
        <v>1</v>
      </c>
      <c r="J734" s="450" t="s">
        <v>322</v>
      </c>
      <c r="K734" s="469">
        <v>59</v>
      </c>
      <c r="L734" s="470">
        <v>1</v>
      </c>
      <c r="M734" s="509"/>
    </row>
    <row r="735" spans="1:13" ht="12.75">
      <c r="A735" s="466" t="s">
        <v>318</v>
      </c>
      <c r="B735" s="450" t="s">
        <v>373</v>
      </c>
      <c r="C735" s="458" t="s">
        <v>375</v>
      </c>
      <c r="D735" s="449">
        <v>36802</v>
      </c>
      <c r="E735" s="450" t="s">
        <v>245</v>
      </c>
      <c r="F735" s="467">
        <v>0.3</v>
      </c>
      <c r="G735" s="467" t="s">
        <v>321</v>
      </c>
      <c r="H735" s="468" t="s">
        <v>322</v>
      </c>
      <c r="I735" s="450" t="s">
        <v>322</v>
      </c>
      <c r="J735" s="450" t="s">
        <v>322</v>
      </c>
      <c r="K735" s="469">
        <v>60</v>
      </c>
      <c r="L735" s="470" t="s">
        <v>322</v>
      </c>
      <c r="M735" s="509"/>
    </row>
    <row r="736" spans="1:13" ht="12.75">
      <c r="A736" s="466" t="s">
        <v>318</v>
      </c>
      <c r="B736" s="450" t="s">
        <v>371</v>
      </c>
      <c r="C736" s="458" t="s">
        <v>375</v>
      </c>
      <c r="D736" s="449">
        <v>37386</v>
      </c>
      <c r="E736" s="450" t="s">
        <v>245</v>
      </c>
      <c r="F736" s="467">
        <v>0.12</v>
      </c>
      <c r="G736" s="467" t="s">
        <v>321</v>
      </c>
      <c r="H736" s="468">
        <v>0.3</v>
      </c>
      <c r="I736" s="450">
        <v>0.12</v>
      </c>
      <c r="J736" s="450" t="s">
        <v>322</v>
      </c>
      <c r="K736" s="469">
        <v>60</v>
      </c>
      <c r="L736" s="470">
        <v>1</v>
      </c>
      <c r="M736" s="509"/>
    </row>
    <row r="737" spans="1:13" ht="12.75">
      <c r="A737" s="466" t="s">
        <v>318</v>
      </c>
      <c r="B737" s="450" t="s">
        <v>371</v>
      </c>
      <c r="C737" s="458" t="s">
        <v>375</v>
      </c>
      <c r="D737" s="449">
        <v>37537</v>
      </c>
      <c r="E737" s="450" t="s">
        <v>245</v>
      </c>
      <c r="F737" s="467">
        <v>0.12</v>
      </c>
      <c r="G737" s="467" t="s">
        <v>321</v>
      </c>
      <c r="H737" s="468">
        <v>0.3</v>
      </c>
      <c r="I737" s="450">
        <v>0.12</v>
      </c>
      <c r="J737" s="450" t="s">
        <v>322</v>
      </c>
      <c r="K737" s="469">
        <v>60</v>
      </c>
      <c r="L737" s="470">
        <v>1</v>
      </c>
      <c r="M737" s="509"/>
    </row>
    <row r="738" spans="1:13" ht="12.75">
      <c r="A738" s="466" t="s">
        <v>318</v>
      </c>
      <c r="B738" s="450" t="s">
        <v>371</v>
      </c>
      <c r="C738" s="458" t="s">
        <v>375</v>
      </c>
      <c r="D738" s="449">
        <v>37743</v>
      </c>
      <c r="E738" s="450" t="s">
        <v>245</v>
      </c>
      <c r="F738" s="467">
        <v>0.12</v>
      </c>
      <c r="G738" s="467" t="s">
        <v>321</v>
      </c>
      <c r="H738" s="468">
        <v>0.3</v>
      </c>
      <c r="I738" s="450">
        <v>0.12</v>
      </c>
      <c r="J738" s="450" t="s">
        <v>322</v>
      </c>
      <c r="K738" s="469">
        <v>60</v>
      </c>
      <c r="L738" s="470">
        <v>1</v>
      </c>
      <c r="M738" s="509"/>
    </row>
    <row r="739" spans="1:13" ht="12.75">
      <c r="A739" s="466" t="s">
        <v>318</v>
      </c>
      <c r="B739" s="450" t="s">
        <v>371</v>
      </c>
      <c r="C739" s="458" t="s">
        <v>375</v>
      </c>
      <c r="D739" s="449">
        <v>37897</v>
      </c>
      <c r="E739" s="450" t="s">
        <v>245</v>
      </c>
      <c r="F739" s="467">
        <v>0.12</v>
      </c>
      <c r="G739" s="467" t="s">
        <v>321</v>
      </c>
      <c r="H739" s="468">
        <v>0.3</v>
      </c>
      <c r="I739" s="450">
        <v>0.12</v>
      </c>
      <c r="J739" s="450" t="s">
        <v>322</v>
      </c>
      <c r="K739" s="469">
        <v>60</v>
      </c>
      <c r="L739" s="470">
        <v>1</v>
      </c>
      <c r="M739" s="509"/>
    </row>
    <row r="740" spans="1:13" ht="12.75">
      <c r="A740" s="466" t="s">
        <v>318</v>
      </c>
      <c r="B740" s="450" t="s">
        <v>371</v>
      </c>
      <c r="C740" s="458" t="s">
        <v>375</v>
      </c>
      <c r="D740" s="449">
        <v>38113</v>
      </c>
      <c r="E740" s="450" t="s">
        <v>245</v>
      </c>
      <c r="F740" s="467">
        <v>0.12</v>
      </c>
      <c r="G740" s="467" t="s">
        <v>321</v>
      </c>
      <c r="H740" s="468">
        <v>0.3</v>
      </c>
      <c r="I740" s="450">
        <v>0.12</v>
      </c>
      <c r="J740" s="450" t="s">
        <v>322</v>
      </c>
      <c r="K740" s="469">
        <v>60</v>
      </c>
      <c r="L740" s="470">
        <v>1</v>
      </c>
      <c r="M740" s="509"/>
    </row>
    <row r="741" spans="1:13" ht="12.75">
      <c r="A741" s="466" t="s">
        <v>318</v>
      </c>
      <c r="B741" s="450" t="s">
        <v>371</v>
      </c>
      <c r="C741" s="458" t="s">
        <v>375</v>
      </c>
      <c r="D741" s="449">
        <v>38273</v>
      </c>
      <c r="E741" s="450" t="s">
        <v>245</v>
      </c>
      <c r="F741" s="467">
        <v>0.02</v>
      </c>
      <c r="G741" s="467" t="s">
        <v>321</v>
      </c>
      <c r="H741" s="468">
        <v>0.3</v>
      </c>
      <c r="I741" s="450">
        <v>0.02</v>
      </c>
      <c r="J741" s="450" t="s">
        <v>322</v>
      </c>
      <c r="K741" s="469">
        <v>60</v>
      </c>
      <c r="L741" s="470">
        <v>1</v>
      </c>
      <c r="M741" s="509"/>
    </row>
    <row r="742" spans="1:13" ht="12.75">
      <c r="A742" s="466" t="s">
        <v>318</v>
      </c>
      <c r="B742" s="450" t="s">
        <v>371</v>
      </c>
      <c r="C742" s="458" t="s">
        <v>375</v>
      </c>
      <c r="D742" s="449">
        <v>38477</v>
      </c>
      <c r="E742" s="450" t="s">
        <v>245</v>
      </c>
      <c r="F742" s="467">
        <v>0.019</v>
      </c>
      <c r="G742" s="467" t="s">
        <v>321</v>
      </c>
      <c r="H742" s="468">
        <v>0.3</v>
      </c>
      <c r="I742" s="450">
        <v>0.019</v>
      </c>
      <c r="J742" s="450" t="s">
        <v>322</v>
      </c>
      <c r="K742" s="469">
        <v>60</v>
      </c>
      <c r="L742" s="470">
        <v>1</v>
      </c>
      <c r="M742" s="509"/>
    </row>
    <row r="743" spans="1:13" ht="12.75">
      <c r="A743" s="466" t="s">
        <v>318</v>
      </c>
      <c r="B743" s="450" t="s">
        <v>371</v>
      </c>
      <c r="C743" s="458" t="s">
        <v>375</v>
      </c>
      <c r="D743" s="449">
        <v>38638</v>
      </c>
      <c r="E743" s="450" t="s">
        <v>245</v>
      </c>
      <c r="F743" s="467">
        <v>0.02</v>
      </c>
      <c r="G743" s="467" t="s">
        <v>321</v>
      </c>
      <c r="H743" s="468">
        <v>0.3</v>
      </c>
      <c r="I743" s="450">
        <v>0.02</v>
      </c>
      <c r="J743" s="450" t="s">
        <v>322</v>
      </c>
      <c r="K743" s="469">
        <v>60</v>
      </c>
      <c r="L743" s="470">
        <v>1</v>
      </c>
      <c r="M743" s="509"/>
    </row>
    <row r="744" spans="1:13" ht="12.75">
      <c r="A744" s="466" t="s">
        <v>318</v>
      </c>
      <c r="B744" s="450" t="s">
        <v>373</v>
      </c>
      <c r="C744" s="458" t="s">
        <v>376</v>
      </c>
      <c r="D744" s="449">
        <v>36802</v>
      </c>
      <c r="E744" s="450" t="s">
        <v>245</v>
      </c>
      <c r="F744" s="467">
        <v>0.3</v>
      </c>
      <c r="G744" s="467" t="s">
        <v>321</v>
      </c>
      <c r="H744" s="468" t="s">
        <v>322</v>
      </c>
      <c r="I744" s="450" t="s">
        <v>322</v>
      </c>
      <c r="J744" s="450" t="s">
        <v>322</v>
      </c>
      <c r="K744" s="469">
        <v>61</v>
      </c>
      <c r="L744" s="470" t="s">
        <v>322</v>
      </c>
      <c r="M744" s="509"/>
    </row>
    <row r="745" spans="1:13" ht="12.75">
      <c r="A745" s="466" t="s">
        <v>318</v>
      </c>
      <c r="B745" s="450" t="s">
        <v>371</v>
      </c>
      <c r="C745" s="458" t="s">
        <v>376</v>
      </c>
      <c r="D745" s="449">
        <v>37386</v>
      </c>
      <c r="E745" s="450" t="s">
        <v>245</v>
      </c>
      <c r="F745" s="467">
        <v>0.09</v>
      </c>
      <c r="G745" s="467" t="s">
        <v>321</v>
      </c>
      <c r="H745" s="468">
        <v>0.3</v>
      </c>
      <c r="I745" s="450">
        <v>0.09</v>
      </c>
      <c r="J745" s="450" t="s">
        <v>322</v>
      </c>
      <c r="K745" s="469">
        <v>61</v>
      </c>
      <c r="L745" s="470">
        <v>1</v>
      </c>
      <c r="M745" s="509"/>
    </row>
    <row r="746" spans="1:13" ht="12.75">
      <c r="A746" s="466" t="s">
        <v>318</v>
      </c>
      <c r="B746" s="450" t="s">
        <v>371</v>
      </c>
      <c r="C746" s="458" t="s">
        <v>376</v>
      </c>
      <c r="D746" s="449">
        <v>37537</v>
      </c>
      <c r="E746" s="450" t="s">
        <v>245</v>
      </c>
      <c r="F746" s="467">
        <v>0.09</v>
      </c>
      <c r="G746" s="467" t="s">
        <v>321</v>
      </c>
      <c r="H746" s="468">
        <v>0.3</v>
      </c>
      <c r="I746" s="450">
        <v>0.09</v>
      </c>
      <c r="J746" s="450" t="s">
        <v>322</v>
      </c>
      <c r="K746" s="469">
        <v>61</v>
      </c>
      <c r="L746" s="470">
        <v>1</v>
      </c>
      <c r="M746" s="509"/>
    </row>
    <row r="747" spans="1:13" ht="12.75">
      <c r="A747" s="466" t="s">
        <v>318</v>
      </c>
      <c r="B747" s="450" t="s">
        <v>371</v>
      </c>
      <c r="C747" s="458" t="s">
        <v>376</v>
      </c>
      <c r="D747" s="449">
        <v>37743</v>
      </c>
      <c r="E747" s="450" t="s">
        <v>245</v>
      </c>
      <c r="F747" s="467">
        <v>0.09</v>
      </c>
      <c r="G747" s="467" t="s">
        <v>321</v>
      </c>
      <c r="H747" s="468">
        <v>0.3</v>
      </c>
      <c r="I747" s="450">
        <v>0.09</v>
      </c>
      <c r="J747" s="450" t="s">
        <v>322</v>
      </c>
      <c r="K747" s="469">
        <v>61</v>
      </c>
      <c r="L747" s="470">
        <v>1</v>
      </c>
      <c r="M747" s="509"/>
    </row>
    <row r="748" spans="1:13" ht="12.75">
      <c r="A748" s="466" t="s">
        <v>318</v>
      </c>
      <c r="B748" s="450" t="s">
        <v>371</v>
      </c>
      <c r="C748" s="458" t="s">
        <v>376</v>
      </c>
      <c r="D748" s="449">
        <v>37897</v>
      </c>
      <c r="E748" s="450" t="s">
        <v>245</v>
      </c>
      <c r="F748" s="467">
        <v>0.09</v>
      </c>
      <c r="G748" s="467" t="s">
        <v>321</v>
      </c>
      <c r="H748" s="468">
        <v>0.3</v>
      </c>
      <c r="I748" s="450">
        <v>0.09</v>
      </c>
      <c r="J748" s="450" t="s">
        <v>322</v>
      </c>
      <c r="K748" s="469">
        <v>61</v>
      </c>
      <c r="L748" s="470">
        <v>1</v>
      </c>
      <c r="M748" s="509"/>
    </row>
    <row r="749" spans="1:13" ht="12.75">
      <c r="A749" s="466" t="s">
        <v>318</v>
      </c>
      <c r="B749" s="450" t="s">
        <v>371</v>
      </c>
      <c r="C749" s="458" t="s">
        <v>376</v>
      </c>
      <c r="D749" s="449">
        <v>38113</v>
      </c>
      <c r="E749" s="450" t="s">
        <v>245</v>
      </c>
      <c r="F749" s="467">
        <v>0.09</v>
      </c>
      <c r="G749" s="467" t="s">
        <v>321</v>
      </c>
      <c r="H749" s="468">
        <v>0.3</v>
      </c>
      <c r="I749" s="450">
        <v>0.09</v>
      </c>
      <c r="J749" s="450" t="s">
        <v>322</v>
      </c>
      <c r="K749" s="469">
        <v>61</v>
      </c>
      <c r="L749" s="470">
        <v>1</v>
      </c>
      <c r="M749" s="509"/>
    </row>
    <row r="750" spans="1:13" ht="12.75">
      <c r="A750" s="466" t="s">
        <v>318</v>
      </c>
      <c r="B750" s="450" t="s">
        <v>371</v>
      </c>
      <c r="C750" s="458" t="s">
        <v>376</v>
      </c>
      <c r="D750" s="449">
        <v>38273</v>
      </c>
      <c r="E750" s="450" t="s">
        <v>245</v>
      </c>
      <c r="F750" s="467">
        <v>0.02</v>
      </c>
      <c r="G750" s="467" t="s">
        <v>321</v>
      </c>
      <c r="H750" s="468">
        <v>0.3</v>
      </c>
      <c r="I750" s="450">
        <v>0.02</v>
      </c>
      <c r="J750" s="450" t="s">
        <v>322</v>
      </c>
      <c r="K750" s="469">
        <v>61</v>
      </c>
      <c r="L750" s="470">
        <v>1</v>
      </c>
      <c r="M750" s="509"/>
    </row>
    <row r="751" spans="1:13" ht="12.75">
      <c r="A751" s="466" t="s">
        <v>318</v>
      </c>
      <c r="B751" s="450" t="s">
        <v>371</v>
      </c>
      <c r="C751" s="458" t="s">
        <v>376</v>
      </c>
      <c r="D751" s="449">
        <v>38477</v>
      </c>
      <c r="E751" s="450" t="s">
        <v>245</v>
      </c>
      <c r="F751" s="467">
        <v>0.019</v>
      </c>
      <c r="G751" s="467" t="s">
        <v>321</v>
      </c>
      <c r="H751" s="468">
        <v>0.3</v>
      </c>
      <c r="I751" s="450">
        <v>0.019</v>
      </c>
      <c r="J751" s="450" t="s">
        <v>322</v>
      </c>
      <c r="K751" s="469">
        <v>61</v>
      </c>
      <c r="L751" s="470">
        <v>1</v>
      </c>
      <c r="M751" s="509"/>
    </row>
    <row r="752" spans="1:13" ht="12.75">
      <c r="A752" s="466" t="s">
        <v>318</v>
      </c>
      <c r="B752" s="450" t="s">
        <v>371</v>
      </c>
      <c r="C752" s="458" t="s">
        <v>376</v>
      </c>
      <c r="D752" s="449">
        <v>38638</v>
      </c>
      <c r="E752" s="450" t="s">
        <v>245</v>
      </c>
      <c r="F752" s="467">
        <v>0.02</v>
      </c>
      <c r="G752" s="467" t="s">
        <v>321</v>
      </c>
      <c r="H752" s="468">
        <v>0.3</v>
      </c>
      <c r="I752" s="450">
        <v>0.02</v>
      </c>
      <c r="J752" s="450" t="s">
        <v>322</v>
      </c>
      <c r="K752" s="469">
        <v>61</v>
      </c>
      <c r="L752" s="470">
        <v>1</v>
      </c>
      <c r="M752" s="509"/>
    </row>
    <row r="753" spans="1:13" ht="12.75">
      <c r="A753" s="466" t="s">
        <v>318</v>
      </c>
      <c r="B753" s="450" t="s">
        <v>373</v>
      </c>
      <c r="C753" s="458" t="s">
        <v>377</v>
      </c>
      <c r="D753" s="449">
        <v>36802</v>
      </c>
      <c r="E753" s="450" t="s">
        <v>245</v>
      </c>
      <c r="F753" s="467">
        <v>0.3</v>
      </c>
      <c r="G753" s="467" t="s">
        <v>321</v>
      </c>
      <c r="H753" s="468" t="s">
        <v>322</v>
      </c>
      <c r="I753" s="450" t="s">
        <v>322</v>
      </c>
      <c r="J753" s="450" t="s">
        <v>322</v>
      </c>
      <c r="K753" s="469">
        <v>62</v>
      </c>
      <c r="L753" s="470" t="s">
        <v>322</v>
      </c>
      <c r="M753" s="509"/>
    </row>
    <row r="754" spans="1:13" ht="12.75">
      <c r="A754" s="466" t="s">
        <v>318</v>
      </c>
      <c r="B754" s="450" t="s">
        <v>371</v>
      </c>
      <c r="C754" s="458" t="s">
        <v>377</v>
      </c>
      <c r="D754" s="449">
        <v>37386</v>
      </c>
      <c r="E754" s="450" t="s">
        <v>245</v>
      </c>
      <c r="F754" s="467">
        <v>0.11</v>
      </c>
      <c r="G754" s="467" t="s">
        <v>321</v>
      </c>
      <c r="H754" s="468">
        <v>0.3</v>
      </c>
      <c r="I754" s="450">
        <v>0.11</v>
      </c>
      <c r="J754" s="450" t="s">
        <v>322</v>
      </c>
      <c r="K754" s="469">
        <v>62</v>
      </c>
      <c r="L754" s="470">
        <v>1</v>
      </c>
      <c r="M754" s="509"/>
    </row>
    <row r="755" spans="1:13" ht="12.75">
      <c r="A755" s="466" t="s">
        <v>318</v>
      </c>
      <c r="B755" s="450" t="s">
        <v>371</v>
      </c>
      <c r="C755" s="458" t="s">
        <v>377</v>
      </c>
      <c r="D755" s="449">
        <v>37537</v>
      </c>
      <c r="E755" s="450" t="s">
        <v>245</v>
      </c>
      <c r="F755" s="467">
        <v>0.11</v>
      </c>
      <c r="G755" s="467" t="s">
        <v>321</v>
      </c>
      <c r="H755" s="468">
        <v>0.3</v>
      </c>
      <c r="I755" s="450">
        <v>0.11</v>
      </c>
      <c r="J755" s="450" t="s">
        <v>322</v>
      </c>
      <c r="K755" s="469">
        <v>62</v>
      </c>
      <c r="L755" s="470">
        <v>1</v>
      </c>
      <c r="M755" s="509"/>
    </row>
    <row r="756" spans="1:13" ht="12.75">
      <c r="A756" s="466" t="s">
        <v>318</v>
      </c>
      <c r="B756" s="450" t="s">
        <v>371</v>
      </c>
      <c r="C756" s="458" t="s">
        <v>377</v>
      </c>
      <c r="D756" s="449">
        <v>37743</v>
      </c>
      <c r="E756" s="450" t="s">
        <v>245</v>
      </c>
      <c r="F756" s="467">
        <v>0.11</v>
      </c>
      <c r="G756" s="467" t="s">
        <v>321</v>
      </c>
      <c r="H756" s="468">
        <v>0.3</v>
      </c>
      <c r="I756" s="450">
        <v>0.11</v>
      </c>
      <c r="J756" s="450" t="s">
        <v>322</v>
      </c>
      <c r="K756" s="469">
        <v>62</v>
      </c>
      <c r="L756" s="470">
        <v>1</v>
      </c>
      <c r="M756" s="509"/>
    </row>
    <row r="757" spans="1:13" ht="12.75">
      <c r="A757" s="466" t="s">
        <v>318</v>
      </c>
      <c r="B757" s="450" t="s">
        <v>371</v>
      </c>
      <c r="C757" s="458" t="s">
        <v>377</v>
      </c>
      <c r="D757" s="449">
        <v>37897</v>
      </c>
      <c r="E757" s="450" t="s">
        <v>245</v>
      </c>
      <c r="F757" s="467">
        <v>0.11</v>
      </c>
      <c r="G757" s="467" t="s">
        <v>321</v>
      </c>
      <c r="H757" s="468">
        <v>0.3</v>
      </c>
      <c r="I757" s="450">
        <v>0.11</v>
      </c>
      <c r="J757" s="450" t="s">
        <v>322</v>
      </c>
      <c r="K757" s="469">
        <v>62</v>
      </c>
      <c r="L757" s="470">
        <v>1</v>
      </c>
      <c r="M757" s="509"/>
    </row>
    <row r="758" spans="1:13" ht="12.75">
      <c r="A758" s="466" t="s">
        <v>318</v>
      </c>
      <c r="B758" s="450" t="s">
        <v>371</v>
      </c>
      <c r="C758" s="458" t="s">
        <v>377</v>
      </c>
      <c r="D758" s="449">
        <v>38113</v>
      </c>
      <c r="E758" s="450" t="s">
        <v>245</v>
      </c>
      <c r="F758" s="467">
        <v>0.11</v>
      </c>
      <c r="G758" s="467" t="s">
        <v>321</v>
      </c>
      <c r="H758" s="468">
        <v>0.3</v>
      </c>
      <c r="I758" s="450">
        <v>0.11</v>
      </c>
      <c r="J758" s="450" t="s">
        <v>322</v>
      </c>
      <c r="K758" s="469">
        <v>62</v>
      </c>
      <c r="L758" s="470">
        <v>1</v>
      </c>
      <c r="M758" s="509"/>
    </row>
    <row r="759" spans="1:13" ht="12.75">
      <c r="A759" s="466" t="s">
        <v>318</v>
      </c>
      <c r="B759" s="450" t="s">
        <v>371</v>
      </c>
      <c r="C759" s="458" t="s">
        <v>377</v>
      </c>
      <c r="D759" s="449">
        <v>38273</v>
      </c>
      <c r="E759" s="450" t="s">
        <v>245</v>
      </c>
      <c r="F759" s="467">
        <v>0.03</v>
      </c>
      <c r="G759" s="467" t="s">
        <v>321</v>
      </c>
      <c r="H759" s="468">
        <v>0.3</v>
      </c>
      <c r="I759" s="450">
        <v>0.03</v>
      </c>
      <c r="J759" s="450" t="s">
        <v>322</v>
      </c>
      <c r="K759" s="469">
        <v>62</v>
      </c>
      <c r="L759" s="470">
        <v>1</v>
      </c>
      <c r="M759" s="509"/>
    </row>
    <row r="760" spans="1:13" ht="12.75">
      <c r="A760" s="466" t="s">
        <v>318</v>
      </c>
      <c r="B760" s="450" t="s">
        <v>371</v>
      </c>
      <c r="C760" s="458" t="s">
        <v>377</v>
      </c>
      <c r="D760" s="449">
        <v>38477</v>
      </c>
      <c r="E760" s="450" t="s">
        <v>245</v>
      </c>
      <c r="F760" s="467">
        <v>0.029</v>
      </c>
      <c r="G760" s="467" t="s">
        <v>321</v>
      </c>
      <c r="H760" s="468">
        <v>0.3</v>
      </c>
      <c r="I760" s="450">
        <v>0.029</v>
      </c>
      <c r="J760" s="450" t="s">
        <v>322</v>
      </c>
      <c r="K760" s="469">
        <v>62</v>
      </c>
      <c r="L760" s="470">
        <v>1</v>
      </c>
      <c r="M760" s="509"/>
    </row>
    <row r="761" spans="1:13" ht="12.75">
      <c r="A761" s="466" t="s">
        <v>318</v>
      </c>
      <c r="B761" s="450" t="s">
        <v>371</v>
      </c>
      <c r="C761" s="458" t="s">
        <v>377</v>
      </c>
      <c r="D761" s="449">
        <v>38638</v>
      </c>
      <c r="E761" s="450" t="s">
        <v>245</v>
      </c>
      <c r="F761" s="467">
        <v>0.03</v>
      </c>
      <c r="G761" s="467" t="s">
        <v>321</v>
      </c>
      <c r="H761" s="468">
        <v>0.3</v>
      </c>
      <c r="I761" s="450">
        <v>0.03</v>
      </c>
      <c r="J761" s="450" t="s">
        <v>322</v>
      </c>
      <c r="K761" s="469">
        <v>62</v>
      </c>
      <c r="L761" s="470">
        <v>1</v>
      </c>
      <c r="M761" s="509"/>
    </row>
    <row r="762" spans="1:13" ht="12.75">
      <c r="A762" s="466" t="s">
        <v>318</v>
      </c>
      <c r="B762" s="450" t="s">
        <v>373</v>
      </c>
      <c r="C762" s="458" t="s">
        <v>378</v>
      </c>
      <c r="D762" s="449">
        <v>36802</v>
      </c>
      <c r="E762" s="450" t="s">
        <v>245</v>
      </c>
      <c r="F762" s="467">
        <v>0.3</v>
      </c>
      <c r="G762" s="467" t="s">
        <v>321</v>
      </c>
      <c r="H762" s="468" t="s">
        <v>322</v>
      </c>
      <c r="I762" s="450" t="s">
        <v>322</v>
      </c>
      <c r="J762" s="450" t="s">
        <v>322</v>
      </c>
      <c r="K762" s="469">
        <v>63</v>
      </c>
      <c r="L762" s="470" t="s">
        <v>322</v>
      </c>
      <c r="M762" s="509"/>
    </row>
    <row r="763" spans="1:13" ht="12.75">
      <c r="A763" s="466" t="s">
        <v>318</v>
      </c>
      <c r="B763" s="450" t="s">
        <v>371</v>
      </c>
      <c r="C763" s="458" t="s">
        <v>378</v>
      </c>
      <c r="D763" s="449">
        <v>37386</v>
      </c>
      <c r="E763" s="450" t="s">
        <v>245</v>
      </c>
      <c r="F763" s="467">
        <v>0.06</v>
      </c>
      <c r="G763" s="467" t="s">
        <v>321</v>
      </c>
      <c r="H763" s="468">
        <v>0.1</v>
      </c>
      <c r="I763" s="450">
        <v>0.06</v>
      </c>
      <c r="J763" s="450" t="s">
        <v>322</v>
      </c>
      <c r="K763" s="469">
        <v>63</v>
      </c>
      <c r="L763" s="470">
        <v>1</v>
      </c>
      <c r="M763" s="509"/>
    </row>
    <row r="764" spans="1:13" ht="12.75">
      <c r="A764" s="466" t="s">
        <v>318</v>
      </c>
      <c r="B764" s="450" t="s">
        <v>371</v>
      </c>
      <c r="C764" s="458" t="s">
        <v>378</v>
      </c>
      <c r="D764" s="449">
        <v>37537</v>
      </c>
      <c r="E764" s="450" t="s">
        <v>245</v>
      </c>
      <c r="F764" s="467">
        <v>0.06</v>
      </c>
      <c r="G764" s="467" t="s">
        <v>321</v>
      </c>
      <c r="H764" s="468">
        <v>0.1</v>
      </c>
      <c r="I764" s="450">
        <v>0.06</v>
      </c>
      <c r="J764" s="450" t="s">
        <v>322</v>
      </c>
      <c r="K764" s="469">
        <v>63</v>
      </c>
      <c r="L764" s="470">
        <v>1</v>
      </c>
      <c r="M764" s="509"/>
    </row>
    <row r="765" spans="1:13" ht="12.75">
      <c r="A765" s="466" t="s">
        <v>318</v>
      </c>
      <c r="B765" s="450" t="s">
        <v>371</v>
      </c>
      <c r="C765" s="458" t="s">
        <v>378</v>
      </c>
      <c r="D765" s="449">
        <v>37743</v>
      </c>
      <c r="E765" s="450" t="s">
        <v>245</v>
      </c>
      <c r="F765" s="467">
        <v>0.06</v>
      </c>
      <c r="G765" s="467" t="s">
        <v>321</v>
      </c>
      <c r="H765" s="468">
        <v>0.1</v>
      </c>
      <c r="I765" s="450">
        <v>0.06</v>
      </c>
      <c r="J765" s="450" t="s">
        <v>322</v>
      </c>
      <c r="K765" s="469">
        <v>63</v>
      </c>
      <c r="L765" s="470">
        <v>1</v>
      </c>
      <c r="M765" s="509"/>
    </row>
    <row r="766" spans="1:13" ht="12.75">
      <c r="A766" s="466" t="s">
        <v>318</v>
      </c>
      <c r="B766" s="450" t="s">
        <v>371</v>
      </c>
      <c r="C766" s="458" t="s">
        <v>378</v>
      </c>
      <c r="D766" s="449">
        <v>37897</v>
      </c>
      <c r="E766" s="450" t="s">
        <v>245</v>
      </c>
      <c r="F766" s="467">
        <v>0.06</v>
      </c>
      <c r="G766" s="467" t="s">
        <v>321</v>
      </c>
      <c r="H766" s="468">
        <v>0.1</v>
      </c>
      <c r="I766" s="450">
        <v>0.06</v>
      </c>
      <c r="J766" s="450" t="s">
        <v>322</v>
      </c>
      <c r="K766" s="469">
        <v>63</v>
      </c>
      <c r="L766" s="470">
        <v>1</v>
      </c>
      <c r="M766" s="509"/>
    </row>
    <row r="767" spans="1:13" ht="12.75">
      <c r="A767" s="466" t="s">
        <v>318</v>
      </c>
      <c r="B767" s="450" t="s">
        <v>371</v>
      </c>
      <c r="C767" s="458" t="s">
        <v>378</v>
      </c>
      <c r="D767" s="449">
        <v>38113</v>
      </c>
      <c r="E767" s="450" t="s">
        <v>245</v>
      </c>
      <c r="F767" s="467">
        <v>0.06</v>
      </c>
      <c r="G767" s="467" t="s">
        <v>321</v>
      </c>
      <c r="H767" s="468">
        <v>0.1</v>
      </c>
      <c r="I767" s="450">
        <v>0.06</v>
      </c>
      <c r="J767" s="450" t="s">
        <v>322</v>
      </c>
      <c r="K767" s="469">
        <v>63</v>
      </c>
      <c r="L767" s="470">
        <v>1</v>
      </c>
      <c r="M767" s="509"/>
    </row>
    <row r="768" spans="1:13" ht="12.75">
      <c r="A768" s="466" t="s">
        <v>318</v>
      </c>
      <c r="B768" s="450" t="s">
        <v>371</v>
      </c>
      <c r="C768" s="458" t="s">
        <v>378</v>
      </c>
      <c r="D768" s="449">
        <v>38273</v>
      </c>
      <c r="E768" s="450" t="s">
        <v>245</v>
      </c>
      <c r="F768" s="467">
        <v>0.03</v>
      </c>
      <c r="G768" s="467" t="s">
        <v>321</v>
      </c>
      <c r="H768" s="468">
        <v>0.1</v>
      </c>
      <c r="I768" s="450">
        <v>0.03</v>
      </c>
      <c r="J768" s="450" t="s">
        <v>322</v>
      </c>
      <c r="K768" s="469">
        <v>63</v>
      </c>
      <c r="L768" s="470">
        <v>1</v>
      </c>
      <c r="M768" s="509"/>
    </row>
    <row r="769" spans="1:13" ht="12.75">
      <c r="A769" s="466" t="s">
        <v>318</v>
      </c>
      <c r="B769" s="450" t="s">
        <v>371</v>
      </c>
      <c r="C769" s="458" t="s">
        <v>378</v>
      </c>
      <c r="D769" s="449">
        <v>38477</v>
      </c>
      <c r="E769" s="450" t="s">
        <v>245</v>
      </c>
      <c r="F769" s="467">
        <v>0.029</v>
      </c>
      <c r="G769" s="467" t="s">
        <v>321</v>
      </c>
      <c r="H769" s="468">
        <v>0.1</v>
      </c>
      <c r="I769" s="450">
        <v>0.029</v>
      </c>
      <c r="J769" s="450" t="s">
        <v>322</v>
      </c>
      <c r="K769" s="469">
        <v>63</v>
      </c>
      <c r="L769" s="470">
        <v>1</v>
      </c>
      <c r="M769" s="509"/>
    </row>
    <row r="770" spans="1:13" ht="12.75">
      <c r="A770" s="466" t="s">
        <v>318</v>
      </c>
      <c r="B770" s="450" t="s">
        <v>371</v>
      </c>
      <c r="C770" s="458" t="s">
        <v>378</v>
      </c>
      <c r="D770" s="449">
        <v>38638</v>
      </c>
      <c r="E770" s="450" t="s">
        <v>245</v>
      </c>
      <c r="F770" s="467">
        <v>0.03</v>
      </c>
      <c r="G770" s="467" t="s">
        <v>321</v>
      </c>
      <c r="H770" s="468">
        <v>0.1</v>
      </c>
      <c r="I770" s="450">
        <v>0.03</v>
      </c>
      <c r="J770" s="450" t="s">
        <v>322</v>
      </c>
      <c r="K770" s="469">
        <v>63</v>
      </c>
      <c r="L770" s="470">
        <v>1</v>
      </c>
      <c r="M770" s="509"/>
    </row>
    <row r="771" spans="1:13" ht="12.75">
      <c r="A771" s="466" t="s">
        <v>318</v>
      </c>
      <c r="B771" s="450" t="s">
        <v>373</v>
      </c>
      <c r="C771" s="458" t="s">
        <v>379</v>
      </c>
      <c r="D771" s="449">
        <v>36802</v>
      </c>
      <c r="E771" s="450" t="s">
        <v>245</v>
      </c>
      <c r="F771" s="467">
        <v>0.3</v>
      </c>
      <c r="G771" s="467" t="s">
        <v>321</v>
      </c>
      <c r="H771" s="468" t="s">
        <v>322</v>
      </c>
      <c r="I771" s="450" t="s">
        <v>322</v>
      </c>
      <c r="J771" s="450" t="s">
        <v>322</v>
      </c>
      <c r="K771" s="469">
        <v>64</v>
      </c>
      <c r="L771" s="470" t="s">
        <v>322</v>
      </c>
      <c r="M771" s="509"/>
    </row>
    <row r="772" spans="1:13" ht="12.75">
      <c r="A772" s="466" t="s">
        <v>318</v>
      </c>
      <c r="B772" s="450" t="s">
        <v>371</v>
      </c>
      <c r="C772" s="458" t="s">
        <v>379</v>
      </c>
      <c r="D772" s="449">
        <v>37386</v>
      </c>
      <c r="E772" s="450" t="s">
        <v>245</v>
      </c>
      <c r="F772" s="467">
        <v>0.16</v>
      </c>
      <c r="G772" s="467" t="s">
        <v>321</v>
      </c>
      <c r="H772" s="468">
        <v>0.3</v>
      </c>
      <c r="I772" s="450">
        <v>0.16</v>
      </c>
      <c r="J772" s="450" t="s">
        <v>322</v>
      </c>
      <c r="K772" s="469">
        <v>64</v>
      </c>
      <c r="L772" s="470">
        <v>1</v>
      </c>
      <c r="M772" s="509"/>
    </row>
    <row r="773" spans="1:13" ht="12.75">
      <c r="A773" s="466" t="s">
        <v>318</v>
      </c>
      <c r="B773" s="450" t="s">
        <v>371</v>
      </c>
      <c r="C773" s="458" t="s">
        <v>379</v>
      </c>
      <c r="D773" s="449">
        <v>37537</v>
      </c>
      <c r="E773" s="450" t="s">
        <v>245</v>
      </c>
      <c r="F773" s="467">
        <v>0.16</v>
      </c>
      <c r="G773" s="467" t="s">
        <v>321</v>
      </c>
      <c r="H773" s="468">
        <v>0.3</v>
      </c>
      <c r="I773" s="450">
        <v>0.16</v>
      </c>
      <c r="J773" s="450" t="s">
        <v>322</v>
      </c>
      <c r="K773" s="469">
        <v>64</v>
      </c>
      <c r="L773" s="470">
        <v>1</v>
      </c>
      <c r="M773" s="509"/>
    </row>
    <row r="774" spans="1:13" ht="12.75">
      <c r="A774" s="466" t="s">
        <v>318</v>
      </c>
      <c r="B774" s="450" t="s">
        <v>371</v>
      </c>
      <c r="C774" s="458" t="s">
        <v>379</v>
      </c>
      <c r="D774" s="449">
        <v>37743</v>
      </c>
      <c r="E774" s="450" t="s">
        <v>245</v>
      </c>
      <c r="F774" s="467">
        <v>0.16</v>
      </c>
      <c r="G774" s="467" t="s">
        <v>321</v>
      </c>
      <c r="H774" s="468">
        <v>0.3</v>
      </c>
      <c r="I774" s="450">
        <v>0.16</v>
      </c>
      <c r="J774" s="450" t="s">
        <v>322</v>
      </c>
      <c r="K774" s="469">
        <v>64</v>
      </c>
      <c r="L774" s="470">
        <v>1</v>
      </c>
      <c r="M774" s="509"/>
    </row>
    <row r="775" spans="1:13" ht="12.75">
      <c r="A775" s="466" t="s">
        <v>318</v>
      </c>
      <c r="B775" s="450" t="s">
        <v>371</v>
      </c>
      <c r="C775" s="458" t="s">
        <v>379</v>
      </c>
      <c r="D775" s="449">
        <v>37897</v>
      </c>
      <c r="E775" s="450" t="s">
        <v>245</v>
      </c>
      <c r="F775" s="467">
        <v>0.16</v>
      </c>
      <c r="G775" s="467" t="s">
        <v>321</v>
      </c>
      <c r="H775" s="468">
        <v>0.3</v>
      </c>
      <c r="I775" s="450">
        <v>0.16</v>
      </c>
      <c r="J775" s="450" t="s">
        <v>322</v>
      </c>
      <c r="K775" s="469">
        <v>64</v>
      </c>
      <c r="L775" s="470">
        <v>1</v>
      </c>
      <c r="M775" s="509"/>
    </row>
    <row r="776" spans="1:13" ht="12.75">
      <c r="A776" s="466" t="s">
        <v>318</v>
      </c>
      <c r="B776" s="450" t="s">
        <v>371</v>
      </c>
      <c r="C776" s="458" t="s">
        <v>379</v>
      </c>
      <c r="D776" s="449">
        <v>38113</v>
      </c>
      <c r="E776" s="450" t="s">
        <v>245</v>
      </c>
      <c r="F776" s="467">
        <v>0.16</v>
      </c>
      <c r="G776" s="467" t="s">
        <v>321</v>
      </c>
      <c r="H776" s="468">
        <v>0.3</v>
      </c>
      <c r="I776" s="450">
        <v>0.16</v>
      </c>
      <c r="J776" s="450" t="s">
        <v>322</v>
      </c>
      <c r="K776" s="469">
        <v>64</v>
      </c>
      <c r="L776" s="470">
        <v>1</v>
      </c>
      <c r="M776" s="509"/>
    </row>
    <row r="777" spans="1:13" ht="12.75">
      <c r="A777" s="466" t="s">
        <v>318</v>
      </c>
      <c r="B777" s="450" t="s">
        <v>371</v>
      </c>
      <c r="C777" s="458" t="s">
        <v>379</v>
      </c>
      <c r="D777" s="449">
        <v>38273</v>
      </c>
      <c r="E777" s="450" t="s">
        <v>245</v>
      </c>
      <c r="F777" s="467">
        <v>0.04</v>
      </c>
      <c r="G777" s="467" t="s">
        <v>321</v>
      </c>
      <c r="H777" s="468">
        <v>0.3</v>
      </c>
      <c r="I777" s="450">
        <v>0.04</v>
      </c>
      <c r="J777" s="450" t="s">
        <v>322</v>
      </c>
      <c r="K777" s="469">
        <v>64</v>
      </c>
      <c r="L777" s="470">
        <v>1</v>
      </c>
      <c r="M777" s="509"/>
    </row>
    <row r="778" spans="1:13" ht="12.75">
      <c r="A778" s="466" t="s">
        <v>318</v>
      </c>
      <c r="B778" s="450" t="s">
        <v>371</v>
      </c>
      <c r="C778" s="458" t="s">
        <v>379</v>
      </c>
      <c r="D778" s="449">
        <v>38477</v>
      </c>
      <c r="E778" s="450" t="s">
        <v>245</v>
      </c>
      <c r="F778" s="467">
        <v>0.039</v>
      </c>
      <c r="G778" s="467" t="s">
        <v>321</v>
      </c>
      <c r="H778" s="468">
        <v>0.3</v>
      </c>
      <c r="I778" s="450">
        <v>0.039</v>
      </c>
      <c r="J778" s="450" t="s">
        <v>322</v>
      </c>
      <c r="K778" s="469">
        <v>64</v>
      </c>
      <c r="L778" s="470">
        <v>1</v>
      </c>
      <c r="M778" s="509"/>
    </row>
    <row r="779" spans="1:13" ht="12.75">
      <c r="A779" s="466" t="s">
        <v>318</v>
      </c>
      <c r="B779" s="450" t="s">
        <v>371</v>
      </c>
      <c r="C779" s="458" t="s">
        <v>379</v>
      </c>
      <c r="D779" s="449">
        <v>38638</v>
      </c>
      <c r="E779" s="450" t="s">
        <v>245</v>
      </c>
      <c r="F779" s="467">
        <v>0.04</v>
      </c>
      <c r="G779" s="467" t="s">
        <v>321</v>
      </c>
      <c r="H779" s="468">
        <v>0.3</v>
      </c>
      <c r="I779" s="450">
        <v>0.04</v>
      </c>
      <c r="J779" s="450" t="s">
        <v>322</v>
      </c>
      <c r="K779" s="469">
        <v>64</v>
      </c>
      <c r="L779" s="470">
        <v>1</v>
      </c>
      <c r="M779" s="509"/>
    </row>
    <row r="780" spans="1:13" ht="12.75">
      <c r="A780" s="466" t="s">
        <v>318</v>
      </c>
      <c r="B780" s="450" t="s">
        <v>359</v>
      </c>
      <c r="C780" s="458" t="s">
        <v>380</v>
      </c>
      <c r="D780" s="449">
        <v>37173</v>
      </c>
      <c r="E780" s="450" t="s">
        <v>245</v>
      </c>
      <c r="F780" s="467">
        <v>0.3</v>
      </c>
      <c r="G780" s="467" t="s">
        <v>321</v>
      </c>
      <c r="H780" s="468">
        <v>5</v>
      </c>
      <c r="I780" s="450">
        <v>0.3</v>
      </c>
      <c r="J780" s="450" t="s">
        <v>322</v>
      </c>
      <c r="K780" s="469">
        <v>65</v>
      </c>
      <c r="L780" s="470">
        <v>1</v>
      </c>
      <c r="M780" s="509"/>
    </row>
    <row r="781" spans="1:13" ht="12.75">
      <c r="A781" s="466" t="s">
        <v>318</v>
      </c>
      <c r="B781" s="450" t="s">
        <v>359</v>
      </c>
      <c r="C781" s="458" t="s">
        <v>380</v>
      </c>
      <c r="D781" s="449">
        <v>37386</v>
      </c>
      <c r="E781" s="450" t="s">
        <v>245</v>
      </c>
      <c r="F781" s="467">
        <v>0.3</v>
      </c>
      <c r="G781" s="467" t="s">
        <v>321</v>
      </c>
      <c r="H781" s="468">
        <v>5</v>
      </c>
      <c r="I781" s="450">
        <v>0.3</v>
      </c>
      <c r="J781" s="450" t="s">
        <v>322</v>
      </c>
      <c r="K781" s="469">
        <v>65</v>
      </c>
      <c r="L781" s="470">
        <v>1</v>
      </c>
      <c r="M781" s="509"/>
    </row>
    <row r="782" spans="1:13" ht="12.75">
      <c r="A782" s="466" t="s">
        <v>318</v>
      </c>
      <c r="B782" s="450" t="s">
        <v>359</v>
      </c>
      <c r="C782" s="458" t="s">
        <v>380</v>
      </c>
      <c r="D782" s="449">
        <v>37537</v>
      </c>
      <c r="E782" s="450" t="s">
        <v>245</v>
      </c>
      <c r="F782" s="467">
        <v>0.9</v>
      </c>
      <c r="G782" s="467" t="s">
        <v>321</v>
      </c>
      <c r="H782" s="468">
        <v>5</v>
      </c>
      <c r="I782" s="450">
        <v>0.9</v>
      </c>
      <c r="J782" s="450" t="s">
        <v>322</v>
      </c>
      <c r="K782" s="469">
        <v>65</v>
      </c>
      <c r="L782" s="470">
        <v>1</v>
      </c>
      <c r="M782" s="509"/>
    </row>
    <row r="783" spans="1:13" ht="12.75">
      <c r="A783" s="466" t="s">
        <v>318</v>
      </c>
      <c r="B783" s="450" t="s">
        <v>359</v>
      </c>
      <c r="C783" s="458" t="s">
        <v>380</v>
      </c>
      <c r="D783" s="449">
        <v>37743</v>
      </c>
      <c r="E783" s="450" t="s">
        <v>245</v>
      </c>
      <c r="F783" s="467">
        <v>0.9</v>
      </c>
      <c r="G783" s="467" t="s">
        <v>321</v>
      </c>
      <c r="H783" s="468">
        <v>5</v>
      </c>
      <c r="I783" s="450">
        <v>0.9</v>
      </c>
      <c r="J783" s="450" t="s">
        <v>322</v>
      </c>
      <c r="K783" s="469">
        <v>65</v>
      </c>
      <c r="L783" s="470">
        <v>1</v>
      </c>
      <c r="M783" s="509"/>
    </row>
    <row r="784" spans="1:13" ht="12.75">
      <c r="A784" s="466" t="s">
        <v>318</v>
      </c>
      <c r="B784" s="450" t="s">
        <v>359</v>
      </c>
      <c r="C784" s="458" t="s">
        <v>380</v>
      </c>
      <c r="D784" s="449">
        <v>37897</v>
      </c>
      <c r="E784" s="450" t="s">
        <v>245</v>
      </c>
      <c r="F784" s="467">
        <v>0.9</v>
      </c>
      <c r="G784" s="467" t="s">
        <v>321</v>
      </c>
      <c r="H784" s="468">
        <v>5</v>
      </c>
      <c r="I784" s="450">
        <v>0.9</v>
      </c>
      <c r="J784" s="450" t="s">
        <v>322</v>
      </c>
      <c r="K784" s="469">
        <v>65</v>
      </c>
      <c r="L784" s="470">
        <v>1</v>
      </c>
      <c r="M784" s="509"/>
    </row>
    <row r="785" spans="1:13" ht="12.75">
      <c r="A785" s="466" t="s">
        <v>318</v>
      </c>
      <c r="B785" s="450" t="s">
        <v>359</v>
      </c>
      <c r="C785" s="458" t="s">
        <v>380</v>
      </c>
      <c r="D785" s="449">
        <v>38113</v>
      </c>
      <c r="E785" s="450" t="s">
        <v>245</v>
      </c>
      <c r="F785" s="467">
        <v>0.9</v>
      </c>
      <c r="G785" s="467" t="s">
        <v>321</v>
      </c>
      <c r="H785" s="468">
        <v>5</v>
      </c>
      <c r="I785" s="450">
        <v>0.9</v>
      </c>
      <c r="J785" s="450" t="s">
        <v>322</v>
      </c>
      <c r="K785" s="469">
        <v>65</v>
      </c>
      <c r="L785" s="470">
        <v>1</v>
      </c>
      <c r="M785" s="509"/>
    </row>
    <row r="786" spans="1:13" ht="12.75">
      <c r="A786" s="466" t="s">
        <v>318</v>
      </c>
      <c r="B786" s="450" t="s">
        <v>359</v>
      </c>
      <c r="C786" s="458" t="s">
        <v>380</v>
      </c>
      <c r="D786" s="449">
        <v>38273</v>
      </c>
      <c r="E786" s="450" t="s">
        <v>245</v>
      </c>
      <c r="F786" s="467">
        <v>0.8</v>
      </c>
      <c r="G786" s="467" t="s">
        <v>321</v>
      </c>
      <c r="H786" s="468">
        <v>5</v>
      </c>
      <c r="I786" s="450">
        <v>0.8</v>
      </c>
      <c r="J786" s="450" t="s">
        <v>322</v>
      </c>
      <c r="K786" s="469">
        <v>65</v>
      </c>
      <c r="L786" s="470">
        <v>1</v>
      </c>
      <c r="M786" s="509"/>
    </row>
    <row r="787" spans="1:13" ht="12.75">
      <c r="A787" s="466" t="s">
        <v>318</v>
      </c>
      <c r="B787" s="450" t="s">
        <v>359</v>
      </c>
      <c r="C787" s="458" t="s">
        <v>380</v>
      </c>
      <c r="D787" s="449">
        <v>38477</v>
      </c>
      <c r="E787" s="450" t="s">
        <v>245</v>
      </c>
      <c r="F787" s="467">
        <v>0.76</v>
      </c>
      <c r="G787" s="467" t="s">
        <v>321</v>
      </c>
      <c r="H787" s="468">
        <v>5</v>
      </c>
      <c r="I787" s="450">
        <v>0.76</v>
      </c>
      <c r="J787" s="450" t="s">
        <v>322</v>
      </c>
      <c r="K787" s="469">
        <v>65</v>
      </c>
      <c r="L787" s="470">
        <v>1</v>
      </c>
      <c r="M787" s="509"/>
    </row>
    <row r="788" spans="1:13" ht="12.75">
      <c r="A788" s="466" t="s">
        <v>318</v>
      </c>
      <c r="B788" s="450" t="s">
        <v>359</v>
      </c>
      <c r="C788" s="458" t="s">
        <v>380</v>
      </c>
      <c r="D788" s="449">
        <v>38638</v>
      </c>
      <c r="E788" s="450" t="s">
        <v>245</v>
      </c>
      <c r="F788" s="467">
        <v>0.8</v>
      </c>
      <c r="G788" s="467" t="s">
        <v>321</v>
      </c>
      <c r="H788" s="468">
        <v>5</v>
      </c>
      <c r="I788" s="450">
        <v>0.8</v>
      </c>
      <c r="J788" s="450" t="s">
        <v>322</v>
      </c>
      <c r="K788" s="469">
        <v>65</v>
      </c>
      <c r="L788" s="470">
        <v>1</v>
      </c>
      <c r="M788" s="509"/>
    </row>
    <row r="789" spans="1:13" ht="12.75">
      <c r="A789" s="466" t="s">
        <v>318</v>
      </c>
      <c r="B789" s="450" t="s">
        <v>359</v>
      </c>
      <c r="C789" s="458" t="s">
        <v>381</v>
      </c>
      <c r="D789" s="449">
        <v>37173</v>
      </c>
      <c r="E789" s="450" t="s">
        <v>245</v>
      </c>
      <c r="F789" s="467">
        <v>0.3</v>
      </c>
      <c r="G789" s="467" t="s">
        <v>321</v>
      </c>
      <c r="H789" s="468">
        <v>1</v>
      </c>
      <c r="I789" s="450">
        <v>0.3</v>
      </c>
      <c r="J789" s="450" t="s">
        <v>322</v>
      </c>
      <c r="K789" s="469">
        <v>66</v>
      </c>
      <c r="L789" s="470">
        <v>1</v>
      </c>
      <c r="M789" s="509"/>
    </row>
    <row r="790" spans="1:13" ht="12.75">
      <c r="A790" s="466" t="s">
        <v>318</v>
      </c>
      <c r="B790" s="450" t="s">
        <v>359</v>
      </c>
      <c r="C790" s="458" t="s">
        <v>381</v>
      </c>
      <c r="D790" s="449">
        <v>37386</v>
      </c>
      <c r="E790" s="450" t="s">
        <v>245</v>
      </c>
      <c r="F790" s="467">
        <v>0.3</v>
      </c>
      <c r="G790" s="467" t="s">
        <v>321</v>
      </c>
      <c r="H790" s="468">
        <v>1</v>
      </c>
      <c r="I790" s="450">
        <v>0.3</v>
      </c>
      <c r="J790" s="450" t="s">
        <v>322</v>
      </c>
      <c r="K790" s="469">
        <v>66</v>
      </c>
      <c r="L790" s="470">
        <v>1</v>
      </c>
      <c r="M790" s="509"/>
    </row>
    <row r="791" spans="1:13" ht="12.75">
      <c r="A791" s="466" t="s">
        <v>318</v>
      </c>
      <c r="B791" s="450" t="s">
        <v>359</v>
      </c>
      <c r="C791" s="458" t="s">
        <v>381</v>
      </c>
      <c r="D791" s="449">
        <v>37537</v>
      </c>
      <c r="E791" s="450" t="s">
        <v>245</v>
      </c>
      <c r="F791" s="467">
        <v>0.7</v>
      </c>
      <c r="G791" s="467" t="s">
        <v>321</v>
      </c>
      <c r="H791" s="468">
        <v>1</v>
      </c>
      <c r="I791" s="450">
        <v>0.7</v>
      </c>
      <c r="J791" s="450" t="s">
        <v>322</v>
      </c>
      <c r="K791" s="469">
        <v>66</v>
      </c>
      <c r="L791" s="470">
        <v>1</v>
      </c>
      <c r="M791" s="509"/>
    </row>
    <row r="792" spans="1:13" ht="12.75">
      <c r="A792" s="466" t="s">
        <v>318</v>
      </c>
      <c r="B792" s="450" t="s">
        <v>359</v>
      </c>
      <c r="C792" s="458" t="s">
        <v>381</v>
      </c>
      <c r="D792" s="449">
        <v>37743</v>
      </c>
      <c r="E792" s="450" t="s">
        <v>245</v>
      </c>
      <c r="F792" s="467">
        <v>0.7</v>
      </c>
      <c r="G792" s="467" t="s">
        <v>321</v>
      </c>
      <c r="H792" s="468">
        <v>1</v>
      </c>
      <c r="I792" s="450">
        <v>0.7</v>
      </c>
      <c r="J792" s="450" t="s">
        <v>322</v>
      </c>
      <c r="K792" s="469">
        <v>66</v>
      </c>
      <c r="L792" s="470">
        <v>1</v>
      </c>
      <c r="M792" s="509"/>
    </row>
    <row r="793" spans="1:13" ht="12.75">
      <c r="A793" s="466" t="s">
        <v>318</v>
      </c>
      <c r="B793" s="450" t="s">
        <v>359</v>
      </c>
      <c r="C793" s="458" t="s">
        <v>381</v>
      </c>
      <c r="D793" s="449">
        <v>37897</v>
      </c>
      <c r="E793" s="450" t="s">
        <v>245</v>
      </c>
      <c r="F793" s="467">
        <v>0.7</v>
      </c>
      <c r="G793" s="467" t="s">
        <v>321</v>
      </c>
      <c r="H793" s="468">
        <v>1</v>
      </c>
      <c r="I793" s="450">
        <v>0.7</v>
      </c>
      <c r="J793" s="450" t="s">
        <v>322</v>
      </c>
      <c r="K793" s="469">
        <v>66</v>
      </c>
      <c r="L793" s="470">
        <v>1</v>
      </c>
      <c r="M793" s="509"/>
    </row>
    <row r="794" spans="1:13" ht="12.75">
      <c r="A794" s="466" t="s">
        <v>318</v>
      </c>
      <c r="B794" s="450" t="s">
        <v>359</v>
      </c>
      <c r="C794" s="458" t="s">
        <v>381</v>
      </c>
      <c r="D794" s="449">
        <v>38113</v>
      </c>
      <c r="E794" s="450" t="s">
        <v>245</v>
      </c>
      <c r="F794" s="467">
        <v>0.7</v>
      </c>
      <c r="G794" s="467" t="s">
        <v>321</v>
      </c>
      <c r="H794" s="468">
        <v>1</v>
      </c>
      <c r="I794" s="450">
        <v>0.7</v>
      </c>
      <c r="J794" s="450" t="s">
        <v>322</v>
      </c>
      <c r="K794" s="469">
        <v>66</v>
      </c>
      <c r="L794" s="470">
        <v>1</v>
      </c>
      <c r="M794" s="509"/>
    </row>
    <row r="795" spans="1:13" ht="12.75">
      <c r="A795" s="466" t="s">
        <v>318</v>
      </c>
      <c r="B795" s="450" t="s">
        <v>359</v>
      </c>
      <c r="C795" s="458" t="s">
        <v>381</v>
      </c>
      <c r="D795" s="449">
        <v>38273</v>
      </c>
      <c r="E795" s="450" t="s">
        <v>245</v>
      </c>
      <c r="F795" s="467">
        <v>0.7</v>
      </c>
      <c r="G795" s="467" t="s">
        <v>321</v>
      </c>
      <c r="H795" s="468">
        <v>1</v>
      </c>
      <c r="I795" s="450">
        <v>0.7</v>
      </c>
      <c r="J795" s="450" t="s">
        <v>322</v>
      </c>
      <c r="K795" s="469">
        <v>66</v>
      </c>
      <c r="L795" s="470">
        <v>1</v>
      </c>
      <c r="M795" s="509"/>
    </row>
    <row r="796" spans="1:13" ht="12.75">
      <c r="A796" s="466" t="s">
        <v>318</v>
      </c>
      <c r="B796" s="450" t="s">
        <v>359</v>
      </c>
      <c r="C796" s="458" t="s">
        <v>381</v>
      </c>
      <c r="D796" s="449">
        <v>38477</v>
      </c>
      <c r="E796" s="450" t="s">
        <v>245</v>
      </c>
      <c r="F796" s="467">
        <v>0.67</v>
      </c>
      <c r="G796" s="467" t="s">
        <v>321</v>
      </c>
      <c r="H796" s="468">
        <v>1</v>
      </c>
      <c r="I796" s="450">
        <v>0.67</v>
      </c>
      <c r="J796" s="450" t="s">
        <v>322</v>
      </c>
      <c r="K796" s="469">
        <v>66</v>
      </c>
      <c r="L796" s="470">
        <v>1</v>
      </c>
      <c r="M796" s="509"/>
    </row>
    <row r="797" spans="1:13" ht="12.75">
      <c r="A797" s="466" t="s">
        <v>318</v>
      </c>
      <c r="B797" s="450" t="s">
        <v>359</v>
      </c>
      <c r="C797" s="458" t="s">
        <v>381</v>
      </c>
      <c r="D797" s="449">
        <v>38638</v>
      </c>
      <c r="E797" s="450" t="s">
        <v>245</v>
      </c>
      <c r="F797" s="467">
        <v>0.7</v>
      </c>
      <c r="G797" s="467" t="s">
        <v>321</v>
      </c>
      <c r="H797" s="468">
        <v>1</v>
      </c>
      <c r="I797" s="450">
        <v>0.7</v>
      </c>
      <c r="J797" s="450" t="s">
        <v>322</v>
      </c>
      <c r="K797" s="469">
        <v>66</v>
      </c>
      <c r="L797" s="470">
        <v>1</v>
      </c>
      <c r="M797" s="509"/>
    </row>
    <row r="798" spans="1:13" ht="12.75">
      <c r="A798" s="466" t="s">
        <v>318</v>
      </c>
      <c r="B798" s="450" t="s">
        <v>359</v>
      </c>
      <c r="C798" s="458" t="s">
        <v>382</v>
      </c>
      <c r="D798" s="449">
        <v>37173</v>
      </c>
      <c r="E798" s="450" t="s">
        <v>245</v>
      </c>
      <c r="F798" s="467">
        <v>1</v>
      </c>
      <c r="G798" s="467" t="s">
        <v>321</v>
      </c>
      <c r="H798" s="468">
        <v>2</v>
      </c>
      <c r="I798" s="450">
        <v>1</v>
      </c>
      <c r="J798" s="450" t="s">
        <v>322</v>
      </c>
      <c r="K798" s="469">
        <v>67</v>
      </c>
      <c r="L798" s="470">
        <v>1</v>
      </c>
      <c r="M798" s="509"/>
    </row>
    <row r="799" spans="1:13" ht="12.75">
      <c r="A799" s="466" t="s">
        <v>318</v>
      </c>
      <c r="B799" s="450" t="s">
        <v>359</v>
      </c>
      <c r="C799" s="458" t="s">
        <v>382</v>
      </c>
      <c r="D799" s="449">
        <v>37386</v>
      </c>
      <c r="E799" s="450" t="s">
        <v>245</v>
      </c>
      <c r="F799" s="467">
        <v>1</v>
      </c>
      <c r="G799" s="467" t="s">
        <v>321</v>
      </c>
      <c r="H799" s="468">
        <v>2</v>
      </c>
      <c r="I799" s="450">
        <v>1</v>
      </c>
      <c r="J799" s="450" t="s">
        <v>322</v>
      </c>
      <c r="K799" s="469">
        <v>67</v>
      </c>
      <c r="L799" s="470">
        <v>1</v>
      </c>
      <c r="M799" s="509"/>
    </row>
    <row r="800" spans="1:13" ht="12.75">
      <c r="A800" s="466" t="s">
        <v>318</v>
      </c>
      <c r="B800" s="450" t="s">
        <v>359</v>
      </c>
      <c r="C800" s="458" t="s">
        <v>382</v>
      </c>
      <c r="D800" s="449">
        <v>37537</v>
      </c>
      <c r="E800" s="450" t="s">
        <v>245</v>
      </c>
      <c r="F800" s="467">
        <v>0.6</v>
      </c>
      <c r="G800" s="467" t="s">
        <v>321</v>
      </c>
      <c r="H800" s="468">
        <v>2</v>
      </c>
      <c r="I800" s="450">
        <v>0.6</v>
      </c>
      <c r="J800" s="450" t="s">
        <v>322</v>
      </c>
      <c r="K800" s="469">
        <v>67</v>
      </c>
      <c r="L800" s="470">
        <v>1</v>
      </c>
      <c r="M800" s="509"/>
    </row>
    <row r="801" spans="1:13" ht="12.75">
      <c r="A801" s="466" t="s">
        <v>318</v>
      </c>
      <c r="B801" s="450" t="s">
        <v>359</v>
      </c>
      <c r="C801" s="458" t="s">
        <v>382</v>
      </c>
      <c r="D801" s="449">
        <v>37743</v>
      </c>
      <c r="E801" s="450" t="s">
        <v>245</v>
      </c>
      <c r="F801" s="467">
        <v>0.6</v>
      </c>
      <c r="G801" s="467" t="s">
        <v>321</v>
      </c>
      <c r="H801" s="468">
        <v>2</v>
      </c>
      <c r="I801" s="450">
        <v>0.6</v>
      </c>
      <c r="J801" s="450" t="s">
        <v>322</v>
      </c>
      <c r="K801" s="469">
        <v>67</v>
      </c>
      <c r="L801" s="470">
        <v>1</v>
      </c>
      <c r="M801" s="509"/>
    </row>
    <row r="802" spans="1:13" ht="12.75">
      <c r="A802" s="466" t="s">
        <v>318</v>
      </c>
      <c r="B802" s="450" t="s">
        <v>359</v>
      </c>
      <c r="C802" s="458" t="s">
        <v>382</v>
      </c>
      <c r="D802" s="449">
        <v>37897</v>
      </c>
      <c r="E802" s="450" t="s">
        <v>245</v>
      </c>
      <c r="F802" s="467">
        <v>0.6</v>
      </c>
      <c r="G802" s="467" t="s">
        <v>321</v>
      </c>
      <c r="H802" s="468">
        <v>2</v>
      </c>
      <c r="I802" s="450">
        <v>0.6</v>
      </c>
      <c r="J802" s="450" t="s">
        <v>322</v>
      </c>
      <c r="K802" s="469">
        <v>67</v>
      </c>
      <c r="L802" s="470">
        <v>1</v>
      </c>
      <c r="M802" s="509"/>
    </row>
    <row r="803" spans="1:13" ht="12.75">
      <c r="A803" s="466" t="s">
        <v>318</v>
      </c>
      <c r="B803" s="450" t="s">
        <v>359</v>
      </c>
      <c r="C803" s="458" t="s">
        <v>382</v>
      </c>
      <c r="D803" s="449">
        <v>38113</v>
      </c>
      <c r="E803" s="450" t="s">
        <v>245</v>
      </c>
      <c r="F803" s="467">
        <v>0.6</v>
      </c>
      <c r="G803" s="467" t="s">
        <v>321</v>
      </c>
      <c r="H803" s="468">
        <v>2</v>
      </c>
      <c r="I803" s="450">
        <v>0.6</v>
      </c>
      <c r="J803" s="450" t="s">
        <v>322</v>
      </c>
      <c r="K803" s="469">
        <v>67</v>
      </c>
      <c r="L803" s="470">
        <v>1</v>
      </c>
      <c r="M803" s="509"/>
    </row>
    <row r="804" spans="1:13" ht="12.75">
      <c r="A804" s="466" t="s">
        <v>318</v>
      </c>
      <c r="B804" s="450" t="s">
        <v>359</v>
      </c>
      <c r="C804" s="458" t="s">
        <v>382</v>
      </c>
      <c r="D804" s="449">
        <v>38273</v>
      </c>
      <c r="E804" s="450" t="s">
        <v>245</v>
      </c>
      <c r="F804" s="467">
        <v>0.7</v>
      </c>
      <c r="G804" s="467" t="s">
        <v>321</v>
      </c>
      <c r="H804" s="468">
        <v>2</v>
      </c>
      <c r="I804" s="450">
        <v>0.7</v>
      </c>
      <c r="J804" s="450" t="s">
        <v>322</v>
      </c>
      <c r="K804" s="469">
        <v>67</v>
      </c>
      <c r="L804" s="470">
        <v>1</v>
      </c>
      <c r="M804" s="509"/>
    </row>
    <row r="805" spans="1:13" ht="12.75">
      <c r="A805" s="466" t="s">
        <v>318</v>
      </c>
      <c r="B805" s="450" t="s">
        <v>359</v>
      </c>
      <c r="C805" s="458" t="s">
        <v>382</v>
      </c>
      <c r="D805" s="449">
        <v>38477</v>
      </c>
      <c r="E805" s="450" t="s">
        <v>245</v>
      </c>
      <c r="F805" s="467">
        <v>0.67</v>
      </c>
      <c r="G805" s="467" t="s">
        <v>321</v>
      </c>
      <c r="H805" s="468">
        <v>2</v>
      </c>
      <c r="I805" s="450">
        <v>0.67</v>
      </c>
      <c r="J805" s="450" t="s">
        <v>322</v>
      </c>
      <c r="K805" s="469">
        <v>67</v>
      </c>
      <c r="L805" s="470">
        <v>1</v>
      </c>
      <c r="M805" s="509"/>
    </row>
    <row r="806" spans="1:13" ht="12.75">
      <c r="A806" s="466" t="s">
        <v>318</v>
      </c>
      <c r="B806" s="450" t="s">
        <v>359</v>
      </c>
      <c r="C806" s="458" t="s">
        <v>382</v>
      </c>
      <c r="D806" s="449">
        <v>38638</v>
      </c>
      <c r="E806" s="450" t="s">
        <v>245</v>
      </c>
      <c r="F806" s="467">
        <v>0.7</v>
      </c>
      <c r="G806" s="467" t="s">
        <v>321</v>
      </c>
      <c r="H806" s="468">
        <v>2</v>
      </c>
      <c r="I806" s="450">
        <v>0.7</v>
      </c>
      <c r="J806" s="450" t="s">
        <v>322</v>
      </c>
      <c r="K806" s="469">
        <v>67</v>
      </c>
      <c r="L806" s="470">
        <v>1</v>
      </c>
      <c r="M806" s="509"/>
    </row>
    <row r="807" spans="1:13" ht="12.75">
      <c r="A807" s="466" t="s">
        <v>318</v>
      </c>
      <c r="B807" s="450" t="s">
        <v>359</v>
      </c>
      <c r="C807" s="458" t="s">
        <v>383</v>
      </c>
      <c r="D807" s="449">
        <v>37173</v>
      </c>
      <c r="E807" s="450" t="s">
        <v>259</v>
      </c>
      <c r="F807" s="467">
        <v>2</v>
      </c>
      <c r="G807" s="467" t="s">
        <v>321</v>
      </c>
      <c r="H807" s="468">
        <v>5</v>
      </c>
      <c r="I807" s="450">
        <v>0.3</v>
      </c>
      <c r="J807" s="450" t="s">
        <v>322</v>
      </c>
      <c r="K807" s="469">
        <v>68</v>
      </c>
      <c r="L807" s="470">
        <v>1</v>
      </c>
      <c r="M807" s="509"/>
    </row>
    <row r="808" spans="1:13" ht="12.75">
      <c r="A808" s="466" t="s">
        <v>318</v>
      </c>
      <c r="B808" s="450" t="s">
        <v>359</v>
      </c>
      <c r="C808" s="458" t="s">
        <v>383</v>
      </c>
      <c r="D808" s="449">
        <v>37386</v>
      </c>
      <c r="E808" s="450" t="s">
        <v>259</v>
      </c>
      <c r="F808" s="467">
        <v>2</v>
      </c>
      <c r="G808" s="467" t="s">
        <v>321</v>
      </c>
      <c r="H808" s="468">
        <v>5</v>
      </c>
      <c r="I808" s="450">
        <v>0.3</v>
      </c>
      <c r="J808" s="450" t="s">
        <v>322</v>
      </c>
      <c r="K808" s="469">
        <v>68</v>
      </c>
      <c r="L808" s="470">
        <v>1</v>
      </c>
      <c r="M808" s="509"/>
    </row>
    <row r="809" spans="1:13" ht="12.75">
      <c r="A809" s="466" t="s">
        <v>318</v>
      </c>
      <c r="B809" s="450" t="s">
        <v>359</v>
      </c>
      <c r="C809" s="458" t="s">
        <v>383</v>
      </c>
      <c r="D809" s="449">
        <v>37537</v>
      </c>
      <c r="E809" s="450" t="s">
        <v>245</v>
      </c>
      <c r="F809" s="467">
        <v>0.8</v>
      </c>
      <c r="G809" s="467" t="s">
        <v>321</v>
      </c>
      <c r="H809" s="468">
        <v>5</v>
      </c>
      <c r="I809" s="450">
        <v>0.8</v>
      </c>
      <c r="J809" s="450" t="s">
        <v>322</v>
      </c>
      <c r="K809" s="469">
        <v>68</v>
      </c>
      <c r="L809" s="470">
        <v>1</v>
      </c>
      <c r="M809" s="509"/>
    </row>
    <row r="810" spans="1:13" ht="12.75">
      <c r="A810" s="466" t="s">
        <v>318</v>
      </c>
      <c r="B810" s="450" t="s">
        <v>359</v>
      </c>
      <c r="C810" s="458" t="s">
        <v>383</v>
      </c>
      <c r="D810" s="449">
        <v>37743</v>
      </c>
      <c r="E810" s="450" t="s">
        <v>245</v>
      </c>
      <c r="F810" s="467">
        <v>0.8</v>
      </c>
      <c r="G810" s="467" t="s">
        <v>321</v>
      </c>
      <c r="H810" s="468">
        <v>5</v>
      </c>
      <c r="I810" s="450">
        <v>0.8</v>
      </c>
      <c r="J810" s="450" t="s">
        <v>322</v>
      </c>
      <c r="K810" s="469">
        <v>68</v>
      </c>
      <c r="L810" s="470">
        <v>1</v>
      </c>
      <c r="M810" s="509"/>
    </row>
    <row r="811" spans="1:13" ht="12.75">
      <c r="A811" s="466" t="s">
        <v>318</v>
      </c>
      <c r="B811" s="450" t="s">
        <v>359</v>
      </c>
      <c r="C811" s="458" t="s">
        <v>383</v>
      </c>
      <c r="D811" s="449">
        <v>37897</v>
      </c>
      <c r="E811" s="450" t="s">
        <v>259</v>
      </c>
      <c r="F811" s="467">
        <v>0.9</v>
      </c>
      <c r="G811" s="467" t="s">
        <v>321</v>
      </c>
      <c r="H811" s="468">
        <v>5</v>
      </c>
      <c r="I811" s="450">
        <v>0.8</v>
      </c>
      <c r="J811" s="450" t="s">
        <v>322</v>
      </c>
      <c r="K811" s="469">
        <v>68</v>
      </c>
      <c r="L811" s="470">
        <v>1</v>
      </c>
      <c r="M811" s="509"/>
    </row>
    <row r="812" spans="1:13" ht="12.75">
      <c r="A812" s="466" t="s">
        <v>318</v>
      </c>
      <c r="B812" s="450" t="s">
        <v>359</v>
      </c>
      <c r="C812" s="458" t="s">
        <v>383</v>
      </c>
      <c r="D812" s="449">
        <v>38113</v>
      </c>
      <c r="E812" s="450" t="s">
        <v>259</v>
      </c>
      <c r="F812" s="467">
        <v>1.4</v>
      </c>
      <c r="G812" s="467" t="s">
        <v>321</v>
      </c>
      <c r="H812" s="468">
        <v>5</v>
      </c>
      <c r="I812" s="450">
        <v>0.8</v>
      </c>
      <c r="J812" s="450" t="s">
        <v>322</v>
      </c>
      <c r="K812" s="469">
        <v>68</v>
      </c>
      <c r="L812" s="470">
        <v>1</v>
      </c>
      <c r="M812" s="509"/>
    </row>
    <row r="813" spans="1:13" ht="12.75">
      <c r="A813" s="466" t="s">
        <v>318</v>
      </c>
      <c r="B813" s="450" t="s">
        <v>359</v>
      </c>
      <c r="C813" s="458" t="s">
        <v>383</v>
      </c>
      <c r="D813" s="449">
        <v>38273</v>
      </c>
      <c r="E813" s="450" t="s">
        <v>259</v>
      </c>
      <c r="F813" s="467">
        <v>1.2</v>
      </c>
      <c r="G813" s="467" t="s">
        <v>321</v>
      </c>
      <c r="H813" s="468">
        <v>3</v>
      </c>
      <c r="I813" s="450">
        <v>0.5</v>
      </c>
      <c r="J813" s="450" t="s">
        <v>322</v>
      </c>
      <c r="K813" s="469">
        <v>68</v>
      </c>
      <c r="L813" s="470">
        <v>1</v>
      </c>
      <c r="M813" s="509"/>
    </row>
    <row r="814" spans="1:13" ht="12.75">
      <c r="A814" s="466" t="s">
        <v>318</v>
      </c>
      <c r="B814" s="450" t="s">
        <v>359</v>
      </c>
      <c r="C814" s="458" t="s">
        <v>383</v>
      </c>
      <c r="D814" s="449">
        <v>38477</v>
      </c>
      <c r="E814" s="450" t="s">
        <v>259</v>
      </c>
      <c r="F814" s="467">
        <v>0.9</v>
      </c>
      <c r="G814" s="467" t="s">
        <v>321</v>
      </c>
      <c r="H814" s="468">
        <v>3</v>
      </c>
      <c r="I814" s="450">
        <v>0.48</v>
      </c>
      <c r="J814" s="450" t="s">
        <v>322</v>
      </c>
      <c r="K814" s="469">
        <v>68</v>
      </c>
      <c r="L814" s="470">
        <v>1</v>
      </c>
      <c r="M814" s="509"/>
    </row>
    <row r="815" spans="1:13" ht="12.75">
      <c r="A815" s="466" t="s">
        <v>318</v>
      </c>
      <c r="B815" s="450" t="s">
        <v>359</v>
      </c>
      <c r="C815" s="458" t="s">
        <v>383</v>
      </c>
      <c r="D815" s="449">
        <v>38638</v>
      </c>
      <c r="E815" s="450" t="s">
        <v>245</v>
      </c>
      <c r="F815" s="467">
        <v>0.5</v>
      </c>
      <c r="G815" s="467" t="s">
        <v>321</v>
      </c>
      <c r="H815" s="468">
        <v>3</v>
      </c>
      <c r="I815" s="450">
        <v>0.5</v>
      </c>
      <c r="J815" s="450" t="s">
        <v>322</v>
      </c>
      <c r="K815" s="469">
        <v>68</v>
      </c>
      <c r="L815" s="470">
        <v>1</v>
      </c>
      <c r="M815" s="509"/>
    </row>
    <row r="816" spans="1:13" ht="12.75">
      <c r="A816" s="466" t="s">
        <v>318</v>
      </c>
      <c r="B816" s="450" t="s">
        <v>359</v>
      </c>
      <c r="C816" s="458" t="s">
        <v>384</v>
      </c>
      <c r="D816" s="449">
        <v>37173</v>
      </c>
      <c r="E816" s="450" t="s">
        <v>245</v>
      </c>
      <c r="F816" s="467">
        <v>0.5</v>
      </c>
      <c r="G816" s="467" t="s">
        <v>321</v>
      </c>
      <c r="H816" s="468">
        <v>5</v>
      </c>
      <c r="I816" s="450">
        <v>0.5</v>
      </c>
      <c r="J816" s="450" t="s">
        <v>322</v>
      </c>
      <c r="K816" s="469">
        <v>69</v>
      </c>
      <c r="L816" s="470">
        <v>1</v>
      </c>
      <c r="M816" s="509"/>
    </row>
    <row r="817" spans="1:13" ht="12.75">
      <c r="A817" s="466" t="s">
        <v>318</v>
      </c>
      <c r="B817" s="450" t="s">
        <v>359</v>
      </c>
      <c r="C817" s="458" t="s">
        <v>384</v>
      </c>
      <c r="D817" s="449">
        <v>37386</v>
      </c>
      <c r="E817" s="450" t="s">
        <v>245</v>
      </c>
      <c r="F817" s="467">
        <v>0.5</v>
      </c>
      <c r="G817" s="467" t="s">
        <v>321</v>
      </c>
      <c r="H817" s="468">
        <v>5</v>
      </c>
      <c r="I817" s="450">
        <v>0.5</v>
      </c>
      <c r="J817" s="450" t="s">
        <v>322</v>
      </c>
      <c r="K817" s="469">
        <v>69</v>
      </c>
      <c r="L817" s="470">
        <v>1</v>
      </c>
      <c r="M817" s="509"/>
    </row>
    <row r="818" spans="1:13" ht="12.75">
      <c r="A818" s="466" t="s">
        <v>318</v>
      </c>
      <c r="B818" s="450" t="s">
        <v>359</v>
      </c>
      <c r="C818" s="458" t="s">
        <v>384</v>
      </c>
      <c r="D818" s="449">
        <v>37537</v>
      </c>
      <c r="E818" s="450" t="s">
        <v>245</v>
      </c>
      <c r="F818" s="467">
        <v>0.4</v>
      </c>
      <c r="G818" s="467" t="s">
        <v>321</v>
      </c>
      <c r="H818" s="468">
        <v>5</v>
      </c>
      <c r="I818" s="450">
        <v>0.4</v>
      </c>
      <c r="J818" s="450" t="s">
        <v>322</v>
      </c>
      <c r="K818" s="469">
        <v>69</v>
      </c>
      <c r="L818" s="470">
        <v>1</v>
      </c>
      <c r="M818" s="509"/>
    </row>
    <row r="819" spans="1:13" ht="12.75">
      <c r="A819" s="466" t="s">
        <v>318</v>
      </c>
      <c r="B819" s="450" t="s">
        <v>359</v>
      </c>
      <c r="C819" s="458" t="s">
        <v>384</v>
      </c>
      <c r="D819" s="449">
        <v>37743</v>
      </c>
      <c r="E819" s="450" t="s">
        <v>245</v>
      </c>
      <c r="F819" s="467">
        <v>0.4</v>
      </c>
      <c r="G819" s="467" t="s">
        <v>321</v>
      </c>
      <c r="H819" s="468">
        <v>5</v>
      </c>
      <c r="I819" s="450">
        <v>0.4</v>
      </c>
      <c r="J819" s="450" t="s">
        <v>322</v>
      </c>
      <c r="K819" s="469">
        <v>69</v>
      </c>
      <c r="L819" s="470">
        <v>1</v>
      </c>
      <c r="M819" s="509"/>
    </row>
    <row r="820" spans="1:13" ht="12.75">
      <c r="A820" s="466" t="s">
        <v>318</v>
      </c>
      <c r="B820" s="450" t="s">
        <v>359</v>
      </c>
      <c r="C820" s="458" t="s">
        <v>384</v>
      </c>
      <c r="D820" s="449">
        <v>37897</v>
      </c>
      <c r="E820" s="450" t="s">
        <v>245</v>
      </c>
      <c r="F820" s="467">
        <v>0.4</v>
      </c>
      <c r="G820" s="467" t="s">
        <v>321</v>
      </c>
      <c r="H820" s="468">
        <v>5</v>
      </c>
      <c r="I820" s="450">
        <v>0.4</v>
      </c>
      <c r="J820" s="450" t="s">
        <v>322</v>
      </c>
      <c r="K820" s="469">
        <v>69</v>
      </c>
      <c r="L820" s="470">
        <v>1</v>
      </c>
      <c r="M820" s="509"/>
    </row>
    <row r="821" spans="1:13" ht="12.75">
      <c r="A821" s="466" t="s">
        <v>318</v>
      </c>
      <c r="B821" s="450" t="s">
        <v>359</v>
      </c>
      <c r="C821" s="458" t="s">
        <v>384</v>
      </c>
      <c r="D821" s="449">
        <v>38113</v>
      </c>
      <c r="E821" s="450" t="s">
        <v>245</v>
      </c>
      <c r="F821" s="467">
        <v>0.4</v>
      </c>
      <c r="G821" s="467" t="s">
        <v>321</v>
      </c>
      <c r="H821" s="468">
        <v>5</v>
      </c>
      <c r="I821" s="450">
        <v>0.4</v>
      </c>
      <c r="J821" s="450" t="s">
        <v>322</v>
      </c>
      <c r="K821" s="469">
        <v>69</v>
      </c>
      <c r="L821" s="470">
        <v>1</v>
      </c>
      <c r="M821" s="509"/>
    </row>
    <row r="822" spans="1:13" ht="12.75">
      <c r="A822" s="466" t="s">
        <v>318</v>
      </c>
      <c r="B822" s="450" t="s">
        <v>359</v>
      </c>
      <c r="C822" s="458" t="s">
        <v>384</v>
      </c>
      <c r="D822" s="449">
        <v>38273</v>
      </c>
      <c r="E822" s="450" t="s">
        <v>245</v>
      </c>
      <c r="F822" s="467">
        <v>2</v>
      </c>
      <c r="G822" s="467" t="s">
        <v>321</v>
      </c>
      <c r="H822" s="468">
        <v>5</v>
      </c>
      <c r="I822" s="450">
        <v>2</v>
      </c>
      <c r="J822" s="450" t="s">
        <v>322</v>
      </c>
      <c r="K822" s="469">
        <v>69</v>
      </c>
      <c r="L822" s="470">
        <v>1</v>
      </c>
      <c r="M822" s="509"/>
    </row>
    <row r="823" spans="1:13" ht="12.75">
      <c r="A823" s="466" t="s">
        <v>318</v>
      </c>
      <c r="B823" s="450" t="s">
        <v>359</v>
      </c>
      <c r="C823" s="458" t="s">
        <v>384</v>
      </c>
      <c r="D823" s="449">
        <v>38477</v>
      </c>
      <c r="E823" s="450" t="s">
        <v>245</v>
      </c>
      <c r="F823" s="467">
        <v>1.9</v>
      </c>
      <c r="G823" s="467" t="s">
        <v>321</v>
      </c>
      <c r="H823" s="468">
        <v>5</v>
      </c>
      <c r="I823" s="450">
        <v>1.9</v>
      </c>
      <c r="J823" s="450" t="s">
        <v>322</v>
      </c>
      <c r="K823" s="469">
        <v>69</v>
      </c>
      <c r="L823" s="470">
        <v>1</v>
      </c>
      <c r="M823" s="509"/>
    </row>
    <row r="824" spans="1:13" ht="12.75">
      <c r="A824" s="466" t="s">
        <v>318</v>
      </c>
      <c r="B824" s="450" t="s">
        <v>359</v>
      </c>
      <c r="C824" s="458" t="s">
        <v>384</v>
      </c>
      <c r="D824" s="449">
        <v>38638</v>
      </c>
      <c r="E824" s="450" t="s">
        <v>245</v>
      </c>
      <c r="F824" s="467">
        <v>2</v>
      </c>
      <c r="G824" s="467" t="s">
        <v>321</v>
      </c>
      <c r="H824" s="468">
        <v>5</v>
      </c>
      <c r="I824" s="450">
        <v>2</v>
      </c>
      <c r="J824" s="450" t="s">
        <v>322</v>
      </c>
      <c r="K824" s="469">
        <v>69</v>
      </c>
      <c r="L824" s="470">
        <v>1</v>
      </c>
      <c r="M824" s="509"/>
    </row>
    <row r="825" spans="1:13" ht="12.75">
      <c r="A825" s="466" t="s">
        <v>318</v>
      </c>
      <c r="B825" s="450" t="s">
        <v>359</v>
      </c>
      <c r="C825" s="458" t="s">
        <v>385</v>
      </c>
      <c r="D825" s="449">
        <v>37173</v>
      </c>
      <c r="E825" s="450" t="s">
        <v>245</v>
      </c>
      <c r="F825" s="467">
        <v>0.4</v>
      </c>
      <c r="G825" s="467" t="s">
        <v>321</v>
      </c>
      <c r="H825" s="468">
        <v>5</v>
      </c>
      <c r="I825" s="450">
        <v>0.4</v>
      </c>
      <c r="J825" s="450" t="s">
        <v>322</v>
      </c>
      <c r="K825" s="469">
        <v>70</v>
      </c>
      <c r="L825" s="470">
        <v>1</v>
      </c>
      <c r="M825" s="509"/>
    </row>
    <row r="826" spans="1:13" ht="12.75">
      <c r="A826" s="466" t="s">
        <v>318</v>
      </c>
      <c r="B826" s="450" t="s">
        <v>359</v>
      </c>
      <c r="C826" s="458" t="s">
        <v>385</v>
      </c>
      <c r="D826" s="449">
        <v>37386</v>
      </c>
      <c r="E826" s="450" t="s">
        <v>245</v>
      </c>
      <c r="F826" s="467">
        <v>0.4</v>
      </c>
      <c r="G826" s="467" t="s">
        <v>321</v>
      </c>
      <c r="H826" s="468">
        <v>5</v>
      </c>
      <c r="I826" s="450">
        <v>0.4</v>
      </c>
      <c r="J826" s="450" t="s">
        <v>322</v>
      </c>
      <c r="K826" s="469">
        <v>70</v>
      </c>
      <c r="L826" s="470">
        <v>1</v>
      </c>
      <c r="M826" s="509"/>
    </row>
    <row r="827" spans="1:13" ht="12.75">
      <c r="A827" s="466" t="s">
        <v>318</v>
      </c>
      <c r="B827" s="450" t="s">
        <v>359</v>
      </c>
      <c r="C827" s="458" t="s">
        <v>385</v>
      </c>
      <c r="D827" s="449">
        <v>37537</v>
      </c>
      <c r="E827" s="450" t="s">
        <v>245</v>
      </c>
      <c r="F827" s="467">
        <v>0.8</v>
      </c>
      <c r="G827" s="467" t="s">
        <v>321</v>
      </c>
      <c r="H827" s="468">
        <v>5</v>
      </c>
      <c r="I827" s="450">
        <v>0.8</v>
      </c>
      <c r="J827" s="450" t="s">
        <v>322</v>
      </c>
      <c r="K827" s="469">
        <v>70</v>
      </c>
      <c r="L827" s="470">
        <v>1</v>
      </c>
      <c r="M827" s="509"/>
    </row>
    <row r="828" spans="1:13" ht="12.75">
      <c r="A828" s="466" t="s">
        <v>318</v>
      </c>
      <c r="B828" s="450" t="s">
        <v>359</v>
      </c>
      <c r="C828" s="458" t="s">
        <v>385</v>
      </c>
      <c r="D828" s="449">
        <v>37743</v>
      </c>
      <c r="E828" s="450" t="s">
        <v>245</v>
      </c>
      <c r="F828" s="467">
        <v>0.8</v>
      </c>
      <c r="G828" s="467" t="s">
        <v>321</v>
      </c>
      <c r="H828" s="468">
        <v>5</v>
      </c>
      <c r="I828" s="450">
        <v>0.8</v>
      </c>
      <c r="J828" s="450" t="s">
        <v>322</v>
      </c>
      <c r="K828" s="469">
        <v>70</v>
      </c>
      <c r="L828" s="470">
        <v>1</v>
      </c>
      <c r="M828" s="509"/>
    </row>
    <row r="829" spans="1:13" ht="12.75">
      <c r="A829" s="466" t="s">
        <v>318</v>
      </c>
      <c r="B829" s="450" t="s">
        <v>359</v>
      </c>
      <c r="C829" s="458" t="s">
        <v>385</v>
      </c>
      <c r="D829" s="449">
        <v>37897</v>
      </c>
      <c r="E829" s="450" t="s">
        <v>245</v>
      </c>
      <c r="F829" s="467">
        <v>0.8</v>
      </c>
      <c r="G829" s="467" t="s">
        <v>321</v>
      </c>
      <c r="H829" s="468">
        <v>5</v>
      </c>
      <c r="I829" s="450">
        <v>0.8</v>
      </c>
      <c r="J829" s="450" t="s">
        <v>322</v>
      </c>
      <c r="K829" s="469">
        <v>70</v>
      </c>
      <c r="L829" s="470">
        <v>1</v>
      </c>
      <c r="M829" s="509"/>
    </row>
    <row r="830" spans="1:13" ht="12.75">
      <c r="A830" s="466" t="s">
        <v>318</v>
      </c>
      <c r="B830" s="450" t="s">
        <v>359</v>
      </c>
      <c r="C830" s="458" t="s">
        <v>385</v>
      </c>
      <c r="D830" s="449">
        <v>38113</v>
      </c>
      <c r="E830" s="450" t="s">
        <v>245</v>
      </c>
      <c r="F830" s="467">
        <v>0.8</v>
      </c>
      <c r="G830" s="467" t="s">
        <v>321</v>
      </c>
      <c r="H830" s="468">
        <v>5</v>
      </c>
      <c r="I830" s="450">
        <v>0.8</v>
      </c>
      <c r="J830" s="450" t="s">
        <v>322</v>
      </c>
      <c r="K830" s="469">
        <v>70</v>
      </c>
      <c r="L830" s="470">
        <v>1</v>
      </c>
      <c r="M830" s="509"/>
    </row>
    <row r="831" spans="1:13" ht="12.75">
      <c r="A831" s="466" t="s">
        <v>318</v>
      </c>
      <c r="B831" s="450" t="s">
        <v>359</v>
      </c>
      <c r="C831" s="458" t="s">
        <v>385</v>
      </c>
      <c r="D831" s="449">
        <v>38273</v>
      </c>
      <c r="E831" s="450" t="s">
        <v>245</v>
      </c>
      <c r="F831" s="467">
        <v>2</v>
      </c>
      <c r="G831" s="467" t="s">
        <v>321</v>
      </c>
      <c r="H831" s="468">
        <v>5</v>
      </c>
      <c r="I831" s="450">
        <v>2</v>
      </c>
      <c r="J831" s="450" t="s">
        <v>322</v>
      </c>
      <c r="K831" s="469">
        <v>70</v>
      </c>
      <c r="L831" s="470">
        <v>1</v>
      </c>
      <c r="M831" s="509"/>
    </row>
    <row r="832" spans="1:13" ht="12.75">
      <c r="A832" s="466" t="s">
        <v>318</v>
      </c>
      <c r="B832" s="450" t="s">
        <v>359</v>
      </c>
      <c r="C832" s="458" t="s">
        <v>385</v>
      </c>
      <c r="D832" s="449">
        <v>38477</v>
      </c>
      <c r="E832" s="450" t="s">
        <v>245</v>
      </c>
      <c r="F832" s="467">
        <v>1.9</v>
      </c>
      <c r="G832" s="467" t="s">
        <v>321</v>
      </c>
      <c r="H832" s="468">
        <v>5</v>
      </c>
      <c r="I832" s="450">
        <v>1.9</v>
      </c>
      <c r="J832" s="450" t="s">
        <v>322</v>
      </c>
      <c r="K832" s="469">
        <v>70</v>
      </c>
      <c r="L832" s="470">
        <v>1</v>
      </c>
      <c r="M832" s="509"/>
    </row>
    <row r="833" spans="1:13" ht="12.75">
      <c r="A833" s="466" t="s">
        <v>318</v>
      </c>
      <c r="B833" s="450" t="s">
        <v>359</v>
      </c>
      <c r="C833" s="458" t="s">
        <v>385</v>
      </c>
      <c r="D833" s="449">
        <v>38638</v>
      </c>
      <c r="E833" s="450" t="s">
        <v>245</v>
      </c>
      <c r="F833" s="467">
        <v>2</v>
      </c>
      <c r="G833" s="467" t="s">
        <v>321</v>
      </c>
      <c r="H833" s="468">
        <v>5</v>
      </c>
      <c r="I833" s="450">
        <v>2</v>
      </c>
      <c r="J833" s="450" t="s">
        <v>322</v>
      </c>
      <c r="K833" s="469">
        <v>70</v>
      </c>
      <c r="L833" s="470">
        <v>1</v>
      </c>
      <c r="M833" s="509"/>
    </row>
    <row r="834" spans="1:13" ht="12.75">
      <c r="A834" s="466" t="s">
        <v>318</v>
      </c>
      <c r="B834" s="450" t="s">
        <v>359</v>
      </c>
      <c r="C834" s="458" t="s">
        <v>386</v>
      </c>
      <c r="D834" s="449">
        <v>37173</v>
      </c>
      <c r="E834" s="450" t="s">
        <v>245</v>
      </c>
      <c r="F834" s="467">
        <v>0.3</v>
      </c>
      <c r="G834" s="467" t="s">
        <v>321</v>
      </c>
      <c r="H834" s="468">
        <v>5</v>
      </c>
      <c r="I834" s="450">
        <v>0.3</v>
      </c>
      <c r="J834" s="450" t="s">
        <v>322</v>
      </c>
      <c r="K834" s="469">
        <v>71</v>
      </c>
      <c r="L834" s="470">
        <v>1</v>
      </c>
      <c r="M834" s="509"/>
    </row>
    <row r="835" spans="1:13" ht="12.75">
      <c r="A835" s="466" t="s">
        <v>318</v>
      </c>
      <c r="B835" s="450" t="s">
        <v>359</v>
      </c>
      <c r="C835" s="458" t="s">
        <v>386</v>
      </c>
      <c r="D835" s="449">
        <v>37386</v>
      </c>
      <c r="E835" s="450" t="s">
        <v>245</v>
      </c>
      <c r="F835" s="467">
        <v>0.3</v>
      </c>
      <c r="G835" s="467" t="s">
        <v>321</v>
      </c>
      <c r="H835" s="468">
        <v>5</v>
      </c>
      <c r="I835" s="450">
        <v>0.3</v>
      </c>
      <c r="J835" s="450" t="s">
        <v>322</v>
      </c>
      <c r="K835" s="469">
        <v>71</v>
      </c>
      <c r="L835" s="470">
        <v>1</v>
      </c>
      <c r="M835" s="509"/>
    </row>
    <row r="836" spans="1:13" ht="12.75">
      <c r="A836" s="466" t="s">
        <v>318</v>
      </c>
      <c r="B836" s="450" t="s">
        <v>359</v>
      </c>
      <c r="C836" s="458" t="s">
        <v>386</v>
      </c>
      <c r="D836" s="449">
        <v>37537</v>
      </c>
      <c r="E836" s="450" t="s">
        <v>245</v>
      </c>
      <c r="F836" s="467">
        <v>0.5</v>
      </c>
      <c r="G836" s="467" t="s">
        <v>321</v>
      </c>
      <c r="H836" s="468">
        <v>5</v>
      </c>
      <c r="I836" s="450">
        <v>0.5</v>
      </c>
      <c r="J836" s="450" t="s">
        <v>322</v>
      </c>
      <c r="K836" s="469">
        <v>71</v>
      </c>
      <c r="L836" s="470">
        <v>1</v>
      </c>
      <c r="M836" s="509"/>
    </row>
    <row r="837" spans="1:13" ht="12.75">
      <c r="A837" s="466" t="s">
        <v>318</v>
      </c>
      <c r="B837" s="450" t="s">
        <v>359</v>
      </c>
      <c r="C837" s="458" t="s">
        <v>386</v>
      </c>
      <c r="D837" s="449">
        <v>37743</v>
      </c>
      <c r="E837" s="450" t="s">
        <v>245</v>
      </c>
      <c r="F837" s="467">
        <v>0.5</v>
      </c>
      <c r="G837" s="467" t="s">
        <v>321</v>
      </c>
      <c r="H837" s="468">
        <v>5</v>
      </c>
      <c r="I837" s="450">
        <v>0.5</v>
      </c>
      <c r="J837" s="450" t="s">
        <v>322</v>
      </c>
      <c r="K837" s="469">
        <v>71</v>
      </c>
      <c r="L837" s="470">
        <v>1</v>
      </c>
      <c r="M837" s="509"/>
    </row>
    <row r="838" spans="1:13" ht="12.75">
      <c r="A838" s="466" t="s">
        <v>318</v>
      </c>
      <c r="B838" s="450" t="s">
        <v>359</v>
      </c>
      <c r="C838" s="458" t="s">
        <v>386</v>
      </c>
      <c r="D838" s="449">
        <v>37897</v>
      </c>
      <c r="E838" s="450" t="s">
        <v>245</v>
      </c>
      <c r="F838" s="467">
        <v>0.5</v>
      </c>
      <c r="G838" s="467" t="s">
        <v>321</v>
      </c>
      <c r="H838" s="468">
        <v>5</v>
      </c>
      <c r="I838" s="450">
        <v>0.5</v>
      </c>
      <c r="J838" s="450" t="s">
        <v>322</v>
      </c>
      <c r="K838" s="469">
        <v>71</v>
      </c>
      <c r="L838" s="470">
        <v>1</v>
      </c>
      <c r="M838" s="509"/>
    </row>
    <row r="839" spans="1:13" ht="12.75">
      <c r="A839" s="466" t="s">
        <v>318</v>
      </c>
      <c r="B839" s="450" t="s">
        <v>359</v>
      </c>
      <c r="C839" s="458" t="s">
        <v>386</v>
      </c>
      <c r="D839" s="449">
        <v>38113</v>
      </c>
      <c r="E839" s="450" t="s">
        <v>245</v>
      </c>
      <c r="F839" s="467">
        <v>0.5</v>
      </c>
      <c r="G839" s="467" t="s">
        <v>321</v>
      </c>
      <c r="H839" s="468">
        <v>5</v>
      </c>
      <c r="I839" s="450">
        <v>0.5</v>
      </c>
      <c r="J839" s="450" t="s">
        <v>322</v>
      </c>
      <c r="K839" s="469">
        <v>71</v>
      </c>
      <c r="L839" s="470">
        <v>1</v>
      </c>
      <c r="M839" s="509"/>
    </row>
    <row r="840" spans="1:13" ht="12.75">
      <c r="A840" s="466" t="s">
        <v>318</v>
      </c>
      <c r="B840" s="450" t="s">
        <v>359</v>
      </c>
      <c r="C840" s="458" t="s">
        <v>386</v>
      </c>
      <c r="D840" s="449">
        <v>38273</v>
      </c>
      <c r="E840" s="450" t="s">
        <v>245</v>
      </c>
      <c r="F840" s="467">
        <v>0.6</v>
      </c>
      <c r="G840" s="467" t="s">
        <v>321</v>
      </c>
      <c r="H840" s="468">
        <v>5</v>
      </c>
      <c r="I840" s="450">
        <v>0.6</v>
      </c>
      <c r="J840" s="450" t="s">
        <v>322</v>
      </c>
      <c r="K840" s="469">
        <v>71</v>
      </c>
      <c r="L840" s="470">
        <v>1</v>
      </c>
      <c r="M840" s="509"/>
    </row>
    <row r="841" spans="1:13" ht="12.75">
      <c r="A841" s="466" t="s">
        <v>318</v>
      </c>
      <c r="B841" s="450" t="s">
        <v>359</v>
      </c>
      <c r="C841" s="458" t="s">
        <v>386</v>
      </c>
      <c r="D841" s="449">
        <v>38477</v>
      </c>
      <c r="E841" s="450" t="s">
        <v>245</v>
      </c>
      <c r="F841" s="467">
        <v>0.57</v>
      </c>
      <c r="G841" s="467" t="s">
        <v>321</v>
      </c>
      <c r="H841" s="468">
        <v>5</v>
      </c>
      <c r="I841" s="450">
        <v>0.57</v>
      </c>
      <c r="J841" s="450" t="s">
        <v>322</v>
      </c>
      <c r="K841" s="469">
        <v>71</v>
      </c>
      <c r="L841" s="470">
        <v>1</v>
      </c>
      <c r="M841" s="509"/>
    </row>
    <row r="842" spans="1:13" ht="12.75">
      <c r="A842" s="466" t="s">
        <v>318</v>
      </c>
      <c r="B842" s="450" t="s">
        <v>359</v>
      </c>
      <c r="C842" s="458" t="s">
        <v>386</v>
      </c>
      <c r="D842" s="449">
        <v>38638</v>
      </c>
      <c r="E842" s="450" t="s">
        <v>245</v>
      </c>
      <c r="F842" s="467">
        <v>0.6</v>
      </c>
      <c r="G842" s="467" t="s">
        <v>321</v>
      </c>
      <c r="H842" s="468">
        <v>5</v>
      </c>
      <c r="I842" s="450">
        <v>0.6</v>
      </c>
      <c r="J842" s="450" t="s">
        <v>322</v>
      </c>
      <c r="K842" s="469">
        <v>71</v>
      </c>
      <c r="L842" s="470">
        <v>1</v>
      </c>
      <c r="M842" s="509"/>
    </row>
    <row r="843" spans="1:13" ht="12.75">
      <c r="A843" s="466" t="s">
        <v>318</v>
      </c>
      <c r="B843" s="450" t="s">
        <v>359</v>
      </c>
      <c r="C843" s="458" t="s">
        <v>387</v>
      </c>
      <c r="D843" s="449">
        <v>37173</v>
      </c>
      <c r="E843" s="450" t="s">
        <v>245</v>
      </c>
      <c r="F843" s="467">
        <v>0.4</v>
      </c>
      <c r="G843" s="467" t="s">
        <v>321</v>
      </c>
      <c r="H843" s="468">
        <v>5</v>
      </c>
      <c r="I843" s="450">
        <v>0.4</v>
      </c>
      <c r="J843" s="450" t="s">
        <v>322</v>
      </c>
      <c r="K843" s="469">
        <v>72</v>
      </c>
      <c r="L843" s="470">
        <v>1</v>
      </c>
      <c r="M843" s="509"/>
    </row>
    <row r="844" spans="1:13" ht="12.75">
      <c r="A844" s="466" t="s">
        <v>318</v>
      </c>
      <c r="B844" s="450" t="s">
        <v>359</v>
      </c>
      <c r="C844" s="458" t="s">
        <v>387</v>
      </c>
      <c r="D844" s="449">
        <v>37386</v>
      </c>
      <c r="E844" s="450" t="s">
        <v>245</v>
      </c>
      <c r="F844" s="467">
        <v>0.4</v>
      </c>
      <c r="G844" s="467" t="s">
        <v>321</v>
      </c>
      <c r="H844" s="468">
        <v>5</v>
      </c>
      <c r="I844" s="450">
        <v>0.4</v>
      </c>
      <c r="J844" s="450" t="s">
        <v>322</v>
      </c>
      <c r="K844" s="469">
        <v>72</v>
      </c>
      <c r="L844" s="470">
        <v>1</v>
      </c>
      <c r="M844" s="509"/>
    </row>
    <row r="845" spans="1:13" ht="12.75">
      <c r="A845" s="466" t="s">
        <v>318</v>
      </c>
      <c r="B845" s="450" t="s">
        <v>359</v>
      </c>
      <c r="C845" s="458" t="s">
        <v>387</v>
      </c>
      <c r="D845" s="449">
        <v>37537</v>
      </c>
      <c r="E845" s="450" t="s">
        <v>245</v>
      </c>
      <c r="F845" s="467">
        <v>0.5</v>
      </c>
      <c r="G845" s="467" t="s">
        <v>321</v>
      </c>
      <c r="H845" s="468">
        <v>5</v>
      </c>
      <c r="I845" s="450">
        <v>0.5</v>
      </c>
      <c r="J845" s="450" t="s">
        <v>322</v>
      </c>
      <c r="K845" s="469">
        <v>72</v>
      </c>
      <c r="L845" s="470">
        <v>1</v>
      </c>
      <c r="M845" s="509"/>
    </row>
    <row r="846" spans="1:13" ht="12.75">
      <c r="A846" s="466" t="s">
        <v>318</v>
      </c>
      <c r="B846" s="450" t="s">
        <v>359</v>
      </c>
      <c r="C846" s="458" t="s">
        <v>387</v>
      </c>
      <c r="D846" s="449">
        <v>37743</v>
      </c>
      <c r="E846" s="450" t="s">
        <v>245</v>
      </c>
      <c r="F846" s="467">
        <v>0.5</v>
      </c>
      <c r="G846" s="467" t="s">
        <v>321</v>
      </c>
      <c r="H846" s="468">
        <v>5</v>
      </c>
      <c r="I846" s="450">
        <v>0.5</v>
      </c>
      <c r="J846" s="450" t="s">
        <v>322</v>
      </c>
      <c r="K846" s="469">
        <v>72</v>
      </c>
      <c r="L846" s="470">
        <v>1</v>
      </c>
      <c r="M846" s="509"/>
    </row>
    <row r="847" spans="1:13" ht="12.75">
      <c r="A847" s="466" t="s">
        <v>318</v>
      </c>
      <c r="B847" s="450" t="s">
        <v>359</v>
      </c>
      <c r="C847" s="458" t="s">
        <v>387</v>
      </c>
      <c r="D847" s="449">
        <v>37897</v>
      </c>
      <c r="E847" s="450" t="s">
        <v>245</v>
      </c>
      <c r="F847" s="467">
        <v>0.5</v>
      </c>
      <c r="G847" s="467" t="s">
        <v>321</v>
      </c>
      <c r="H847" s="468">
        <v>5</v>
      </c>
      <c r="I847" s="450">
        <v>0.5</v>
      </c>
      <c r="J847" s="450" t="s">
        <v>322</v>
      </c>
      <c r="K847" s="469">
        <v>72</v>
      </c>
      <c r="L847" s="470">
        <v>1</v>
      </c>
      <c r="M847" s="509"/>
    </row>
    <row r="848" spans="1:13" ht="12.75">
      <c r="A848" s="466" t="s">
        <v>318</v>
      </c>
      <c r="B848" s="450" t="s">
        <v>359</v>
      </c>
      <c r="C848" s="458" t="s">
        <v>387</v>
      </c>
      <c r="D848" s="449">
        <v>38113</v>
      </c>
      <c r="E848" s="450" t="s">
        <v>245</v>
      </c>
      <c r="F848" s="467">
        <v>0.5</v>
      </c>
      <c r="G848" s="467" t="s">
        <v>321</v>
      </c>
      <c r="H848" s="468">
        <v>5</v>
      </c>
      <c r="I848" s="450">
        <v>0.5</v>
      </c>
      <c r="J848" s="450" t="s">
        <v>322</v>
      </c>
      <c r="K848" s="469">
        <v>72</v>
      </c>
      <c r="L848" s="470">
        <v>1</v>
      </c>
      <c r="M848" s="509"/>
    </row>
    <row r="849" spans="1:13" ht="12.75">
      <c r="A849" s="466" t="s">
        <v>318</v>
      </c>
      <c r="B849" s="450" t="s">
        <v>359</v>
      </c>
      <c r="C849" s="458" t="s">
        <v>387</v>
      </c>
      <c r="D849" s="449">
        <v>38273</v>
      </c>
      <c r="E849" s="450" t="s">
        <v>245</v>
      </c>
      <c r="F849" s="467">
        <v>2</v>
      </c>
      <c r="G849" s="467" t="s">
        <v>321</v>
      </c>
      <c r="H849" s="468">
        <v>5</v>
      </c>
      <c r="I849" s="450">
        <v>2</v>
      </c>
      <c r="J849" s="450" t="s">
        <v>322</v>
      </c>
      <c r="K849" s="469">
        <v>72</v>
      </c>
      <c r="L849" s="470">
        <v>1</v>
      </c>
      <c r="M849" s="509"/>
    </row>
    <row r="850" spans="1:13" ht="12.75">
      <c r="A850" s="466" t="s">
        <v>318</v>
      </c>
      <c r="B850" s="450" t="s">
        <v>359</v>
      </c>
      <c r="C850" s="458" t="s">
        <v>387</v>
      </c>
      <c r="D850" s="449">
        <v>38477</v>
      </c>
      <c r="E850" s="450" t="s">
        <v>245</v>
      </c>
      <c r="F850" s="467">
        <v>1.9</v>
      </c>
      <c r="G850" s="467" t="s">
        <v>321</v>
      </c>
      <c r="H850" s="468">
        <v>5</v>
      </c>
      <c r="I850" s="450">
        <v>1.9</v>
      </c>
      <c r="J850" s="450" t="s">
        <v>322</v>
      </c>
      <c r="K850" s="469">
        <v>72</v>
      </c>
      <c r="L850" s="470">
        <v>1</v>
      </c>
      <c r="M850" s="509"/>
    </row>
    <row r="851" spans="1:13" ht="12.75">
      <c r="A851" s="466" t="s">
        <v>318</v>
      </c>
      <c r="B851" s="450" t="s">
        <v>359</v>
      </c>
      <c r="C851" s="458" t="s">
        <v>387</v>
      </c>
      <c r="D851" s="449">
        <v>38638</v>
      </c>
      <c r="E851" s="450" t="s">
        <v>245</v>
      </c>
      <c r="F851" s="467">
        <v>2</v>
      </c>
      <c r="G851" s="467" t="s">
        <v>321</v>
      </c>
      <c r="H851" s="468">
        <v>5</v>
      </c>
      <c r="I851" s="450">
        <v>2</v>
      </c>
      <c r="J851" s="450" t="s">
        <v>322</v>
      </c>
      <c r="K851" s="469">
        <v>72</v>
      </c>
      <c r="L851" s="470">
        <v>1</v>
      </c>
      <c r="M851" s="509"/>
    </row>
    <row r="852" spans="1:13" ht="12.75">
      <c r="A852" s="466" t="s">
        <v>318</v>
      </c>
      <c r="B852" s="450" t="s">
        <v>373</v>
      </c>
      <c r="C852" s="458" t="s">
        <v>388</v>
      </c>
      <c r="D852" s="449">
        <v>36802</v>
      </c>
      <c r="E852" s="450" t="s">
        <v>245</v>
      </c>
      <c r="F852" s="467">
        <v>0.3</v>
      </c>
      <c r="G852" s="467" t="s">
        <v>321</v>
      </c>
      <c r="H852" s="468" t="s">
        <v>322</v>
      </c>
      <c r="I852" s="450" t="s">
        <v>322</v>
      </c>
      <c r="J852" s="450" t="s">
        <v>322</v>
      </c>
      <c r="K852" s="469">
        <v>73</v>
      </c>
      <c r="L852" s="470" t="s">
        <v>322</v>
      </c>
      <c r="M852" s="509"/>
    </row>
    <row r="853" spans="1:13" ht="12.75">
      <c r="A853" s="466" t="s">
        <v>318</v>
      </c>
      <c r="B853" s="450" t="s">
        <v>371</v>
      </c>
      <c r="C853" s="458" t="s">
        <v>388</v>
      </c>
      <c r="D853" s="449">
        <v>37386</v>
      </c>
      <c r="E853" s="450" t="s">
        <v>245</v>
      </c>
      <c r="F853" s="467">
        <v>0.14</v>
      </c>
      <c r="G853" s="467" t="s">
        <v>321</v>
      </c>
      <c r="H853" s="468">
        <v>0.3</v>
      </c>
      <c r="I853" s="450">
        <v>0.14</v>
      </c>
      <c r="J853" s="450" t="s">
        <v>322</v>
      </c>
      <c r="K853" s="469">
        <v>73</v>
      </c>
      <c r="L853" s="470">
        <v>1</v>
      </c>
      <c r="M853" s="509"/>
    </row>
    <row r="854" spans="1:13" ht="12.75">
      <c r="A854" s="466" t="s">
        <v>318</v>
      </c>
      <c r="B854" s="450" t="s">
        <v>371</v>
      </c>
      <c r="C854" s="458" t="s">
        <v>388</v>
      </c>
      <c r="D854" s="449">
        <v>37537</v>
      </c>
      <c r="E854" s="450" t="s">
        <v>245</v>
      </c>
      <c r="F854" s="467">
        <v>0.14</v>
      </c>
      <c r="G854" s="467" t="s">
        <v>321</v>
      </c>
      <c r="H854" s="468">
        <v>0.3</v>
      </c>
      <c r="I854" s="450">
        <v>0.14</v>
      </c>
      <c r="J854" s="450" t="s">
        <v>322</v>
      </c>
      <c r="K854" s="469">
        <v>73</v>
      </c>
      <c r="L854" s="470">
        <v>1</v>
      </c>
      <c r="M854" s="509"/>
    </row>
    <row r="855" spans="1:13" ht="12.75">
      <c r="A855" s="466" t="s">
        <v>318</v>
      </c>
      <c r="B855" s="450" t="s">
        <v>371</v>
      </c>
      <c r="C855" s="458" t="s">
        <v>388</v>
      </c>
      <c r="D855" s="449">
        <v>37743</v>
      </c>
      <c r="E855" s="450" t="s">
        <v>245</v>
      </c>
      <c r="F855" s="467">
        <v>0.14</v>
      </c>
      <c r="G855" s="467" t="s">
        <v>321</v>
      </c>
      <c r="H855" s="468">
        <v>0.3</v>
      </c>
      <c r="I855" s="450">
        <v>0.14</v>
      </c>
      <c r="J855" s="450" t="s">
        <v>322</v>
      </c>
      <c r="K855" s="469">
        <v>73</v>
      </c>
      <c r="L855" s="470">
        <v>1</v>
      </c>
      <c r="M855" s="509"/>
    </row>
    <row r="856" spans="1:13" ht="12.75">
      <c r="A856" s="466" t="s">
        <v>318</v>
      </c>
      <c r="B856" s="450" t="s">
        <v>371</v>
      </c>
      <c r="C856" s="458" t="s">
        <v>388</v>
      </c>
      <c r="D856" s="449">
        <v>37897</v>
      </c>
      <c r="E856" s="450" t="s">
        <v>245</v>
      </c>
      <c r="F856" s="467">
        <v>0.14</v>
      </c>
      <c r="G856" s="467" t="s">
        <v>321</v>
      </c>
      <c r="H856" s="468">
        <v>0.3</v>
      </c>
      <c r="I856" s="450">
        <v>0.14</v>
      </c>
      <c r="J856" s="450" t="s">
        <v>322</v>
      </c>
      <c r="K856" s="469">
        <v>73</v>
      </c>
      <c r="L856" s="470">
        <v>1</v>
      </c>
      <c r="M856" s="509"/>
    </row>
    <row r="857" spans="1:13" ht="12.75">
      <c r="A857" s="466" t="s">
        <v>318</v>
      </c>
      <c r="B857" s="450" t="s">
        <v>371</v>
      </c>
      <c r="C857" s="458" t="s">
        <v>388</v>
      </c>
      <c r="D857" s="449">
        <v>38113</v>
      </c>
      <c r="E857" s="450" t="s">
        <v>245</v>
      </c>
      <c r="F857" s="467">
        <v>0.14</v>
      </c>
      <c r="G857" s="467" t="s">
        <v>321</v>
      </c>
      <c r="H857" s="468">
        <v>0.3</v>
      </c>
      <c r="I857" s="450">
        <v>0.14</v>
      </c>
      <c r="J857" s="450" t="s">
        <v>322</v>
      </c>
      <c r="K857" s="469">
        <v>73</v>
      </c>
      <c r="L857" s="470">
        <v>1</v>
      </c>
      <c r="M857" s="509"/>
    </row>
    <row r="858" spans="1:13" ht="12.75">
      <c r="A858" s="466" t="s">
        <v>318</v>
      </c>
      <c r="B858" s="450" t="s">
        <v>371</v>
      </c>
      <c r="C858" s="458" t="s">
        <v>388</v>
      </c>
      <c r="D858" s="449">
        <v>38273</v>
      </c>
      <c r="E858" s="450" t="s">
        <v>245</v>
      </c>
      <c r="F858" s="467">
        <v>0.04</v>
      </c>
      <c r="G858" s="467" t="s">
        <v>321</v>
      </c>
      <c r="H858" s="468">
        <v>0.3</v>
      </c>
      <c r="I858" s="450">
        <v>0.04</v>
      </c>
      <c r="J858" s="450" t="s">
        <v>322</v>
      </c>
      <c r="K858" s="469">
        <v>73</v>
      </c>
      <c r="L858" s="470">
        <v>1</v>
      </c>
      <c r="M858" s="509"/>
    </row>
    <row r="859" spans="1:13" ht="12.75">
      <c r="A859" s="466" t="s">
        <v>318</v>
      </c>
      <c r="B859" s="450" t="s">
        <v>371</v>
      </c>
      <c r="C859" s="458" t="s">
        <v>388</v>
      </c>
      <c r="D859" s="449">
        <v>38477</v>
      </c>
      <c r="E859" s="450" t="s">
        <v>245</v>
      </c>
      <c r="F859" s="467">
        <v>0.039</v>
      </c>
      <c r="G859" s="467" t="s">
        <v>321</v>
      </c>
      <c r="H859" s="468">
        <v>0.3</v>
      </c>
      <c r="I859" s="450">
        <v>0.039</v>
      </c>
      <c r="J859" s="450" t="s">
        <v>322</v>
      </c>
      <c r="K859" s="469">
        <v>73</v>
      </c>
      <c r="L859" s="470">
        <v>1</v>
      </c>
      <c r="M859" s="509"/>
    </row>
    <row r="860" spans="1:13" ht="12.75">
      <c r="A860" s="466" t="s">
        <v>318</v>
      </c>
      <c r="B860" s="450" t="s">
        <v>371</v>
      </c>
      <c r="C860" s="458" t="s">
        <v>388</v>
      </c>
      <c r="D860" s="449">
        <v>38638</v>
      </c>
      <c r="E860" s="450" t="s">
        <v>245</v>
      </c>
      <c r="F860" s="467">
        <v>0.04</v>
      </c>
      <c r="G860" s="467" t="s">
        <v>321</v>
      </c>
      <c r="H860" s="468">
        <v>0.3</v>
      </c>
      <c r="I860" s="450">
        <v>0.04</v>
      </c>
      <c r="J860" s="450" t="s">
        <v>322</v>
      </c>
      <c r="K860" s="469">
        <v>73</v>
      </c>
      <c r="L860" s="470">
        <v>1</v>
      </c>
      <c r="M860" s="509"/>
    </row>
    <row r="861" spans="1:13" ht="12.75">
      <c r="A861" s="466" t="s">
        <v>318</v>
      </c>
      <c r="B861" s="450" t="s">
        <v>373</v>
      </c>
      <c r="C861" s="458" t="s">
        <v>389</v>
      </c>
      <c r="D861" s="449">
        <v>36802</v>
      </c>
      <c r="E861" s="450" t="s">
        <v>245</v>
      </c>
      <c r="F861" s="467">
        <v>0.3</v>
      </c>
      <c r="G861" s="467" t="s">
        <v>321</v>
      </c>
      <c r="H861" s="468" t="s">
        <v>322</v>
      </c>
      <c r="I861" s="450" t="s">
        <v>322</v>
      </c>
      <c r="J861" s="450" t="s">
        <v>322</v>
      </c>
      <c r="K861" s="469">
        <v>74</v>
      </c>
      <c r="L861" s="470" t="s">
        <v>322</v>
      </c>
      <c r="M861" s="509"/>
    </row>
    <row r="862" spans="1:13" ht="12.75">
      <c r="A862" s="466" t="s">
        <v>318</v>
      </c>
      <c r="B862" s="450" t="s">
        <v>371</v>
      </c>
      <c r="C862" s="458" t="s">
        <v>389</v>
      </c>
      <c r="D862" s="449">
        <v>37386</v>
      </c>
      <c r="E862" s="450" t="s">
        <v>245</v>
      </c>
      <c r="F862" s="467">
        <v>0.04</v>
      </c>
      <c r="G862" s="467" t="s">
        <v>321</v>
      </c>
      <c r="H862" s="468">
        <v>0.1</v>
      </c>
      <c r="I862" s="450">
        <v>0.04</v>
      </c>
      <c r="J862" s="450" t="s">
        <v>322</v>
      </c>
      <c r="K862" s="469">
        <v>74</v>
      </c>
      <c r="L862" s="470">
        <v>1</v>
      </c>
      <c r="M862" s="509"/>
    </row>
    <row r="863" spans="1:13" ht="12.75">
      <c r="A863" s="466" t="s">
        <v>318</v>
      </c>
      <c r="B863" s="450" t="s">
        <v>371</v>
      </c>
      <c r="C863" s="458" t="s">
        <v>389</v>
      </c>
      <c r="D863" s="449">
        <v>37537</v>
      </c>
      <c r="E863" s="450" t="s">
        <v>245</v>
      </c>
      <c r="F863" s="467">
        <v>0.04</v>
      </c>
      <c r="G863" s="467" t="s">
        <v>321</v>
      </c>
      <c r="H863" s="468">
        <v>0.1</v>
      </c>
      <c r="I863" s="450">
        <v>0.04</v>
      </c>
      <c r="J863" s="450" t="s">
        <v>322</v>
      </c>
      <c r="K863" s="469">
        <v>74</v>
      </c>
      <c r="L863" s="470">
        <v>1</v>
      </c>
      <c r="M863" s="509"/>
    </row>
    <row r="864" spans="1:13" ht="12.75">
      <c r="A864" s="466" t="s">
        <v>318</v>
      </c>
      <c r="B864" s="450" t="s">
        <v>371</v>
      </c>
      <c r="C864" s="458" t="s">
        <v>389</v>
      </c>
      <c r="D864" s="449">
        <v>37743</v>
      </c>
      <c r="E864" s="450" t="s">
        <v>245</v>
      </c>
      <c r="F864" s="467">
        <v>0.04</v>
      </c>
      <c r="G864" s="467" t="s">
        <v>321</v>
      </c>
      <c r="H864" s="468">
        <v>0.1</v>
      </c>
      <c r="I864" s="450">
        <v>0.04</v>
      </c>
      <c r="J864" s="450" t="s">
        <v>322</v>
      </c>
      <c r="K864" s="469">
        <v>74</v>
      </c>
      <c r="L864" s="470">
        <v>1</v>
      </c>
      <c r="M864" s="509"/>
    </row>
    <row r="865" spans="1:13" ht="12.75">
      <c r="A865" s="466" t="s">
        <v>318</v>
      </c>
      <c r="B865" s="450" t="s">
        <v>371</v>
      </c>
      <c r="C865" s="458" t="s">
        <v>389</v>
      </c>
      <c r="D865" s="449">
        <v>37897</v>
      </c>
      <c r="E865" s="450" t="s">
        <v>245</v>
      </c>
      <c r="F865" s="467">
        <v>0.04</v>
      </c>
      <c r="G865" s="467" t="s">
        <v>321</v>
      </c>
      <c r="H865" s="468">
        <v>0.1</v>
      </c>
      <c r="I865" s="450">
        <v>0.04</v>
      </c>
      <c r="J865" s="450" t="s">
        <v>322</v>
      </c>
      <c r="K865" s="469">
        <v>74</v>
      </c>
      <c r="L865" s="470">
        <v>1</v>
      </c>
      <c r="M865" s="509"/>
    </row>
    <row r="866" spans="1:13" ht="12.75">
      <c r="A866" s="466" t="s">
        <v>318</v>
      </c>
      <c r="B866" s="450" t="s">
        <v>371</v>
      </c>
      <c r="C866" s="458" t="s">
        <v>389</v>
      </c>
      <c r="D866" s="449">
        <v>38113</v>
      </c>
      <c r="E866" s="450" t="s">
        <v>245</v>
      </c>
      <c r="F866" s="467">
        <v>0.04</v>
      </c>
      <c r="G866" s="467" t="s">
        <v>321</v>
      </c>
      <c r="H866" s="468">
        <v>0.1</v>
      </c>
      <c r="I866" s="450">
        <v>0.04</v>
      </c>
      <c r="J866" s="450" t="s">
        <v>322</v>
      </c>
      <c r="K866" s="469">
        <v>74</v>
      </c>
      <c r="L866" s="470">
        <v>1</v>
      </c>
      <c r="M866" s="509"/>
    </row>
    <row r="867" spans="1:13" ht="12.75">
      <c r="A867" s="466" t="s">
        <v>318</v>
      </c>
      <c r="B867" s="450" t="s">
        <v>371</v>
      </c>
      <c r="C867" s="458" t="s">
        <v>389</v>
      </c>
      <c r="D867" s="449">
        <v>38273</v>
      </c>
      <c r="E867" s="450" t="s">
        <v>245</v>
      </c>
      <c r="F867" s="467">
        <v>0.03</v>
      </c>
      <c r="G867" s="467" t="s">
        <v>321</v>
      </c>
      <c r="H867" s="468">
        <v>0.1</v>
      </c>
      <c r="I867" s="450">
        <v>0.03</v>
      </c>
      <c r="J867" s="450" t="s">
        <v>322</v>
      </c>
      <c r="K867" s="469">
        <v>74</v>
      </c>
      <c r="L867" s="470">
        <v>1</v>
      </c>
      <c r="M867" s="509"/>
    </row>
    <row r="868" spans="1:13" ht="12.75">
      <c r="A868" s="466" t="s">
        <v>318</v>
      </c>
      <c r="B868" s="450" t="s">
        <v>371</v>
      </c>
      <c r="C868" s="458" t="s">
        <v>389</v>
      </c>
      <c r="D868" s="449">
        <v>38477</v>
      </c>
      <c r="E868" s="450" t="s">
        <v>245</v>
      </c>
      <c r="F868" s="467">
        <v>0.029</v>
      </c>
      <c r="G868" s="467" t="s">
        <v>321</v>
      </c>
      <c r="H868" s="468">
        <v>0.1</v>
      </c>
      <c r="I868" s="450">
        <v>0.029</v>
      </c>
      <c r="J868" s="450" t="s">
        <v>322</v>
      </c>
      <c r="K868" s="469">
        <v>74</v>
      </c>
      <c r="L868" s="470">
        <v>1</v>
      </c>
      <c r="M868" s="509"/>
    </row>
    <row r="869" spans="1:13" ht="12.75">
      <c r="A869" s="466" t="s">
        <v>318</v>
      </c>
      <c r="B869" s="450" t="s">
        <v>371</v>
      </c>
      <c r="C869" s="458" t="s">
        <v>389</v>
      </c>
      <c r="D869" s="449">
        <v>38638</v>
      </c>
      <c r="E869" s="450" t="s">
        <v>245</v>
      </c>
      <c r="F869" s="467">
        <v>0.03</v>
      </c>
      <c r="G869" s="467" t="s">
        <v>321</v>
      </c>
      <c r="H869" s="468">
        <v>0.1</v>
      </c>
      <c r="I869" s="450">
        <v>0.03</v>
      </c>
      <c r="J869" s="450" t="s">
        <v>322</v>
      </c>
      <c r="K869" s="469">
        <v>74</v>
      </c>
      <c r="L869" s="470">
        <v>1</v>
      </c>
      <c r="M869" s="509"/>
    </row>
    <row r="870" spans="1:13" ht="12.75">
      <c r="A870" s="466" t="s">
        <v>318</v>
      </c>
      <c r="B870" s="450" t="s">
        <v>335</v>
      </c>
      <c r="C870" s="458" t="s">
        <v>390</v>
      </c>
      <c r="D870" s="449">
        <v>37173</v>
      </c>
      <c r="E870" s="450" t="s">
        <v>245</v>
      </c>
      <c r="F870" s="467">
        <v>0.12</v>
      </c>
      <c r="G870" s="467" t="s">
        <v>321</v>
      </c>
      <c r="H870" s="468">
        <v>0.5</v>
      </c>
      <c r="I870" s="450">
        <v>0.12</v>
      </c>
      <c r="J870" s="450" t="s">
        <v>322</v>
      </c>
      <c r="K870" s="469">
        <v>75</v>
      </c>
      <c r="L870" s="470">
        <v>1</v>
      </c>
      <c r="M870" s="509"/>
    </row>
    <row r="871" spans="1:13" ht="12.75">
      <c r="A871" s="466" t="s">
        <v>318</v>
      </c>
      <c r="B871" s="450" t="s">
        <v>335</v>
      </c>
      <c r="C871" s="458" t="s">
        <v>390</v>
      </c>
      <c r="D871" s="449">
        <v>37386</v>
      </c>
      <c r="E871" s="450" t="s">
        <v>245</v>
      </c>
      <c r="F871" s="467">
        <v>0.12</v>
      </c>
      <c r="G871" s="467" t="s">
        <v>321</v>
      </c>
      <c r="H871" s="468">
        <v>0.5</v>
      </c>
      <c r="I871" s="450">
        <v>0.12</v>
      </c>
      <c r="J871" s="450" t="s">
        <v>322</v>
      </c>
      <c r="K871" s="469">
        <v>75</v>
      </c>
      <c r="L871" s="470">
        <v>1</v>
      </c>
      <c r="M871" s="509"/>
    </row>
    <row r="872" spans="1:13" ht="12.75">
      <c r="A872" s="466" t="s">
        <v>318</v>
      </c>
      <c r="B872" s="450" t="s">
        <v>335</v>
      </c>
      <c r="C872" s="458" t="s">
        <v>390</v>
      </c>
      <c r="D872" s="449">
        <v>37537</v>
      </c>
      <c r="E872" s="450" t="s">
        <v>245</v>
      </c>
      <c r="F872" s="467">
        <v>0.2</v>
      </c>
      <c r="G872" s="467" t="s">
        <v>321</v>
      </c>
      <c r="H872" s="468">
        <v>0.5</v>
      </c>
      <c r="I872" s="450">
        <v>0.2</v>
      </c>
      <c r="J872" s="450" t="s">
        <v>322</v>
      </c>
      <c r="K872" s="469">
        <v>75</v>
      </c>
      <c r="L872" s="470">
        <v>1</v>
      </c>
      <c r="M872" s="509"/>
    </row>
    <row r="873" spans="1:13" ht="12.75">
      <c r="A873" s="466" t="s">
        <v>318</v>
      </c>
      <c r="B873" s="450" t="s">
        <v>335</v>
      </c>
      <c r="C873" s="458" t="s">
        <v>390</v>
      </c>
      <c r="D873" s="449">
        <v>37743</v>
      </c>
      <c r="E873" s="450" t="s">
        <v>245</v>
      </c>
      <c r="F873" s="467">
        <v>0.2</v>
      </c>
      <c r="G873" s="467" t="s">
        <v>321</v>
      </c>
      <c r="H873" s="468">
        <v>0.5</v>
      </c>
      <c r="I873" s="450">
        <v>0.2</v>
      </c>
      <c r="J873" s="450" t="s">
        <v>322</v>
      </c>
      <c r="K873" s="469">
        <v>75</v>
      </c>
      <c r="L873" s="470">
        <v>1</v>
      </c>
      <c r="M873" s="509"/>
    </row>
    <row r="874" spans="1:13" ht="12.75">
      <c r="A874" s="466" t="s">
        <v>318</v>
      </c>
      <c r="B874" s="450" t="s">
        <v>335</v>
      </c>
      <c r="C874" s="458" t="s">
        <v>390</v>
      </c>
      <c r="D874" s="449">
        <v>37897</v>
      </c>
      <c r="E874" s="450" t="s">
        <v>245</v>
      </c>
      <c r="F874" s="467">
        <v>0.2</v>
      </c>
      <c r="G874" s="467" t="s">
        <v>321</v>
      </c>
      <c r="H874" s="468">
        <v>0.5</v>
      </c>
      <c r="I874" s="450">
        <v>0.2</v>
      </c>
      <c r="J874" s="450" t="s">
        <v>322</v>
      </c>
      <c r="K874" s="469">
        <v>75</v>
      </c>
      <c r="L874" s="470">
        <v>1</v>
      </c>
      <c r="M874" s="509"/>
    </row>
    <row r="875" spans="1:13" ht="12.75">
      <c r="A875" s="466" t="s">
        <v>318</v>
      </c>
      <c r="B875" s="450" t="s">
        <v>335</v>
      </c>
      <c r="C875" s="458" t="s">
        <v>390</v>
      </c>
      <c r="D875" s="449">
        <v>38113</v>
      </c>
      <c r="E875" s="450" t="s">
        <v>245</v>
      </c>
      <c r="F875" s="467">
        <v>0.6</v>
      </c>
      <c r="G875" s="467" t="s">
        <v>321</v>
      </c>
      <c r="H875" s="468">
        <v>2</v>
      </c>
      <c r="I875" s="450">
        <v>0.6</v>
      </c>
      <c r="J875" s="450" t="s">
        <v>322</v>
      </c>
      <c r="K875" s="469">
        <v>75</v>
      </c>
      <c r="L875" s="470">
        <v>1</v>
      </c>
      <c r="M875" s="509"/>
    </row>
    <row r="876" spans="1:13" ht="12.75">
      <c r="A876" s="466" t="s">
        <v>318</v>
      </c>
      <c r="B876" s="450" t="s">
        <v>335</v>
      </c>
      <c r="C876" s="458" t="s">
        <v>390</v>
      </c>
      <c r="D876" s="449">
        <v>38127</v>
      </c>
      <c r="E876" s="450" t="s">
        <v>245</v>
      </c>
      <c r="F876" s="467">
        <v>0.2</v>
      </c>
      <c r="G876" s="467" t="s">
        <v>321</v>
      </c>
      <c r="H876" s="468">
        <v>5</v>
      </c>
      <c r="I876" s="450">
        <v>0.2</v>
      </c>
      <c r="J876" s="450" t="s">
        <v>322</v>
      </c>
      <c r="K876" s="469">
        <v>75</v>
      </c>
      <c r="L876" s="470">
        <v>10</v>
      </c>
      <c r="M876" s="509"/>
    </row>
    <row r="877" spans="1:13" ht="12.75">
      <c r="A877" s="466" t="s">
        <v>318</v>
      </c>
      <c r="B877" s="450" t="s">
        <v>335</v>
      </c>
      <c r="C877" s="458" t="s">
        <v>390</v>
      </c>
      <c r="D877" s="449">
        <v>38273</v>
      </c>
      <c r="E877" s="450" t="s">
        <v>245</v>
      </c>
      <c r="F877" s="467">
        <v>0.05</v>
      </c>
      <c r="G877" s="467" t="s">
        <v>321</v>
      </c>
      <c r="H877" s="468">
        <v>0.5</v>
      </c>
      <c r="I877" s="450">
        <v>0.05</v>
      </c>
      <c r="J877" s="450" t="s">
        <v>322</v>
      </c>
      <c r="K877" s="469">
        <v>75</v>
      </c>
      <c r="L877" s="470">
        <v>1</v>
      </c>
      <c r="M877" s="509"/>
    </row>
    <row r="878" spans="1:13" ht="12.75">
      <c r="A878" s="466" t="s">
        <v>318</v>
      </c>
      <c r="B878" s="450" t="s">
        <v>335</v>
      </c>
      <c r="C878" s="458" t="s">
        <v>390</v>
      </c>
      <c r="D878" s="449">
        <v>38477</v>
      </c>
      <c r="E878" s="450" t="s">
        <v>245</v>
      </c>
      <c r="F878" s="467">
        <v>0.05</v>
      </c>
      <c r="G878" s="467" t="s">
        <v>321</v>
      </c>
      <c r="H878" s="468">
        <v>0.5</v>
      </c>
      <c r="I878" s="450">
        <v>0.05</v>
      </c>
      <c r="J878" s="450" t="s">
        <v>322</v>
      </c>
      <c r="K878" s="469">
        <v>75</v>
      </c>
      <c r="L878" s="470">
        <v>1</v>
      </c>
      <c r="M878" s="509"/>
    </row>
    <row r="879" spans="1:13" ht="12.75">
      <c r="A879" s="466" t="s">
        <v>318</v>
      </c>
      <c r="B879" s="450" t="s">
        <v>335</v>
      </c>
      <c r="C879" s="458" t="s">
        <v>390</v>
      </c>
      <c r="D879" s="449">
        <v>38638</v>
      </c>
      <c r="E879" s="450" t="s">
        <v>245</v>
      </c>
      <c r="F879" s="467">
        <v>0.4</v>
      </c>
      <c r="G879" s="467" t="s">
        <v>321</v>
      </c>
      <c r="H879" s="468">
        <v>2</v>
      </c>
      <c r="I879" s="450">
        <v>0.4</v>
      </c>
      <c r="J879" s="450" t="s">
        <v>322</v>
      </c>
      <c r="K879" s="469">
        <v>75</v>
      </c>
      <c r="L879" s="470">
        <v>1</v>
      </c>
      <c r="M879" s="509"/>
    </row>
    <row r="880" spans="1:13" ht="12.75">
      <c r="A880" s="466" t="s">
        <v>318</v>
      </c>
      <c r="B880" s="450" t="s">
        <v>335</v>
      </c>
      <c r="C880" s="458" t="s">
        <v>391</v>
      </c>
      <c r="D880" s="449">
        <v>37173</v>
      </c>
      <c r="E880" s="450" t="s">
        <v>245</v>
      </c>
      <c r="F880" s="467">
        <v>0.16</v>
      </c>
      <c r="G880" s="467" t="s">
        <v>321</v>
      </c>
      <c r="H880" s="468">
        <v>0.5</v>
      </c>
      <c r="I880" s="450">
        <v>0.16</v>
      </c>
      <c r="J880" s="450" t="s">
        <v>322</v>
      </c>
      <c r="K880" s="469">
        <v>76</v>
      </c>
      <c r="L880" s="470">
        <v>1</v>
      </c>
      <c r="M880" s="509"/>
    </row>
    <row r="881" spans="1:13" ht="12.75">
      <c r="A881" s="466" t="s">
        <v>318</v>
      </c>
      <c r="B881" s="450" t="s">
        <v>335</v>
      </c>
      <c r="C881" s="458" t="s">
        <v>391</v>
      </c>
      <c r="D881" s="449">
        <v>37386</v>
      </c>
      <c r="E881" s="450" t="s">
        <v>245</v>
      </c>
      <c r="F881" s="467">
        <v>0.16</v>
      </c>
      <c r="G881" s="467" t="s">
        <v>321</v>
      </c>
      <c r="H881" s="468">
        <v>0.5</v>
      </c>
      <c r="I881" s="450">
        <v>0.16</v>
      </c>
      <c r="J881" s="450" t="s">
        <v>322</v>
      </c>
      <c r="K881" s="469">
        <v>76</v>
      </c>
      <c r="L881" s="470">
        <v>1</v>
      </c>
      <c r="M881" s="509"/>
    </row>
    <row r="882" spans="1:13" ht="12.75">
      <c r="A882" s="466" t="s">
        <v>318</v>
      </c>
      <c r="B882" s="450" t="s">
        <v>335</v>
      </c>
      <c r="C882" s="458" t="s">
        <v>391</v>
      </c>
      <c r="D882" s="449">
        <v>37537</v>
      </c>
      <c r="E882" s="450" t="s">
        <v>245</v>
      </c>
      <c r="F882" s="467">
        <v>0.3</v>
      </c>
      <c r="G882" s="467" t="s">
        <v>321</v>
      </c>
      <c r="H882" s="468">
        <v>0.5</v>
      </c>
      <c r="I882" s="450">
        <v>0.3</v>
      </c>
      <c r="J882" s="450" t="s">
        <v>322</v>
      </c>
      <c r="K882" s="469">
        <v>76</v>
      </c>
      <c r="L882" s="470">
        <v>1</v>
      </c>
      <c r="M882" s="509"/>
    </row>
    <row r="883" spans="1:13" ht="12.75">
      <c r="A883" s="466" t="s">
        <v>318</v>
      </c>
      <c r="B883" s="450" t="s">
        <v>335</v>
      </c>
      <c r="C883" s="458" t="s">
        <v>391</v>
      </c>
      <c r="D883" s="449">
        <v>37743</v>
      </c>
      <c r="E883" s="450" t="s">
        <v>245</v>
      </c>
      <c r="F883" s="467">
        <v>0.3</v>
      </c>
      <c r="G883" s="467" t="s">
        <v>321</v>
      </c>
      <c r="H883" s="468">
        <v>0.5</v>
      </c>
      <c r="I883" s="450">
        <v>0.3</v>
      </c>
      <c r="J883" s="450" t="s">
        <v>322</v>
      </c>
      <c r="K883" s="469">
        <v>76</v>
      </c>
      <c r="L883" s="470">
        <v>1</v>
      </c>
      <c r="M883" s="509"/>
    </row>
    <row r="884" spans="1:13" ht="12.75">
      <c r="A884" s="466" t="s">
        <v>318</v>
      </c>
      <c r="B884" s="450" t="s">
        <v>335</v>
      </c>
      <c r="C884" s="458" t="s">
        <v>391</v>
      </c>
      <c r="D884" s="449">
        <v>37897</v>
      </c>
      <c r="E884" s="450" t="s">
        <v>245</v>
      </c>
      <c r="F884" s="467">
        <v>0.3</v>
      </c>
      <c r="G884" s="467" t="s">
        <v>321</v>
      </c>
      <c r="H884" s="468">
        <v>0.5</v>
      </c>
      <c r="I884" s="450">
        <v>0.3</v>
      </c>
      <c r="J884" s="450" t="s">
        <v>322</v>
      </c>
      <c r="K884" s="469">
        <v>76</v>
      </c>
      <c r="L884" s="470">
        <v>1</v>
      </c>
      <c r="M884" s="509"/>
    </row>
    <row r="885" spans="1:13" ht="12.75">
      <c r="A885" s="466" t="s">
        <v>318</v>
      </c>
      <c r="B885" s="450" t="s">
        <v>335</v>
      </c>
      <c r="C885" s="458" t="s">
        <v>391</v>
      </c>
      <c r="D885" s="449">
        <v>38113</v>
      </c>
      <c r="E885" s="450" t="s">
        <v>245</v>
      </c>
      <c r="F885" s="467">
        <v>0.6</v>
      </c>
      <c r="G885" s="467" t="s">
        <v>321</v>
      </c>
      <c r="H885" s="468">
        <v>1</v>
      </c>
      <c r="I885" s="450">
        <v>0.6</v>
      </c>
      <c r="J885" s="450" t="s">
        <v>322</v>
      </c>
      <c r="K885" s="469">
        <v>76</v>
      </c>
      <c r="L885" s="470">
        <v>1</v>
      </c>
      <c r="M885" s="509"/>
    </row>
    <row r="886" spans="1:13" ht="12.75">
      <c r="A886" s="466" t="s">
        <v>318</v>
      </c>
      <c r="B886" s="450" t="s">
        <v>335</v>
      </c>
      <c r="C886" s="458" t="s">
        <v>391</v>
      </c>
      <c r="D886" s="449">
        <v>38127</v>
      </c>
      <c r="E886" s="450" t="s">
        <v>245</v>
      </c>
      <c r="F886" s="467">
        <v>0.3</v>
      </c>
      <c r="G886" s="467" t="s">
        <v>321</v>
      </c>
      <c r="H886" s="468">
        <v>5</v>
      </c>
      <c r="I886" s="450">
        <v>0.3</v>
      </c>
      <c r="J886" s="450" t="s">
        <v>322</v>
      </c>
      <c r="K886" s="469">
        <v>76</v>
      </c>
      <c r="L886" s="470">
        <v>10</v>
      </c>
      <c r="M886" s="509"/>
    </row>
    <row r="887" spans="1:13" ht="12.75">
      <c r="A887" s="466" t="s">
        <v>318</v>
      </c>
      <c r="B887" s="450" t="s">
        <v>335</v>
      </c>
      <c r="C887" s="458" t="s">
        <v>391</v>
      </c>
      <c r="D887" s="449">
        <v>38273</v>
      </c>
      <c r="E887" s="450" t="s">
        <v>245</v>
      </c>
      <c r="F887" s="467">
        <v>0.07</v>
      </c>
      <c r="G887" s="467" t="s">
        <v>321</v>
      </c>
      <c r="H887" s="468">
        <v>0.5</v>
      </c>
      <c r="I887" s="450">
        <v>0.07</v>
      </c>
      <c r="J887" s="450" t="s">
        <v>322</v>
      </c>
      <c r="K887" s="469">
        <v>76</v>
      </c>
      <c r="L887" s="470">
        <v>1</v>
      </c>
      <c r="M887" s="509"/>
    </row>
    <row r="888" spans="1:13" ht="12.75">
      <c r="A888" s="466" t="s">
        <v>318</v>
      </c>
      <c r="B888" s="450" t="s">
        <v>335</v>
      </c>
      <c r="C888" s="458" t="s">
        <v>391</v>
      </c>
      <c r="D888" s="449">
        <v>38477</v>
      </c>
      <c r="E888" s="450" t="s">
        <v>245</v>
      </c>
      <c r="F888" s="467">
        <v>0.07</v>
      </c>
      <c r="G888" s="467" t="s">
        <v>321</v>
      </c>
      <c r="H888" s="468">
        <v>0.5</v>
      </c>
      <c r="I888" s="450">
        <v>0.07</v>
      </c>
      <c r="J888" s="450" t="s">
        <v>322</v>
      </c>
      <c r="K888" s="469">
        <v>76</v>
      </c>
      <c r="L888" s="470">
        <v>1</v>
      </c>
      <c r="M888" s="509"/>
    </row>
    <row r="889" spans="1:13" ht="12.75">
      <c r="A889" s="466" t="s">
        <v>318</v>
      </c>
      <c r="B889" s="450" t="s">
        <v>335</v>
      </c>
      <c r="C889" s="458" t="s">
        <v>391</v>
      </c>
      <c r="D889" s="449">
        <v>38638</v>
      </c>
      <c r="E889" s="450" t="s">
        <v>245</v>
      </c>
      <c r="F889" s="467">
        <v>0.99</v>
      </c>
      <c r="G889" s="467" t="s">
        <v>321</v>
      </c>
      <c r="H889" s="468">
        <v>1</v>
      </c>
      <c r="I889" s="450">
        <v>0.99</v>
      </c>
      <c r="J889" s="450" t="s">
        <v>322</v>
      </c>
      <c r="K889" s="469">
        <v>76</v>
      </c>
      <c r="L889" s="470">
        <v>1</v>
      </c>
      <c r="M889" s="509"/>
    </row>
    <row r="890" spans="1:13" ht="12.75">
      <c r="A890" s="466" t="s">
        <v>318</v>
      </c>
      <c r="B890" s="450" t="s">
        <v>335</v>
      </c>
      <c r="C890" s="458" t="s">
        <v>392</v>
      </c>
      <c r="D890" s="449">
        <v>37173</v>
      </c>
      <c r="E890" s="450" t="s">
        <v>245</v>
      </c>
      <c r="F890" s="467">
        <v>0.12</v>
      </c>
      <c r="G890" s="467" t="s">
        <v>321</v>
      </c>
      <c r="H890" s="468">
        <v>0.5</v>
      </c>
      <c r="I890" s="450">
        <v>0.12</v>
      </c>
      <c r="J890" s="450" t="s">
        <v>322</v>
      </c>
      <c r="K890" s="469">
        <v>77</v>
      </c>
      <c r="L890" s="470">
        <v>1</v>
      </c>
      <c r="M890" s="509"/>
    </row>
    <row r="891" spans="1:13" ht="12.75">
      <c r="A891" s="466" t="s">
        <v>318</v>
      </c>
      <c r="B891" s="450" t="s">
        <v>335</v>
      </c>
      <c r="C891" s="458" t="s">
        <v>392</v>
      </c>
      <c r="D891" s="449">
        <v>37386</v>
      </c>
      <c r="E891" s="450" t="s">
        <v>322</v>
      </c>
      <c r="F891" s="467">
        <v>0.8</v>
      </c>
      <c r="G891" s="467" t="s">
        <v>321</v>
      </c>
      <c r="H891" s="468">
        <v>0.5</v>
      </c>
      <c r="I891" s="450">
        <v>0.12</v>
      </c>
      <c r="J891" s="450" t="s">
        <v>322</v>
      </c>
      <c r="K891" s="469">
        <v>77</v>
      </c>
      <c r="L891" s="470">
        <v>1</v>
      </c>
      <c r="M891" s="509"/>
    </row>
    <row r="892" spans="1:13" ht="12.75">
      <c r="A892" s="466" t="s">
        <v>318</v>
      </c>
      <c r="B892" s="450" t="s">
        <v>335</v>
      </c>
      <c r="C892" s="458" t="s">
        <v>392</v>
      </c>
      <c r="D892" s="449">
        <v>37537</v>
      </c>
      <c r="E892" s="450" t="s">
        <v>322</v>
      </c>
      <c r="F892" s="467">
        <v>0.8</v>
      </c>
      <c r="G892" s="467" t="s">
        <v>321</v>
      </c>
      <c r="H892" s="468">
        <v>0.5</v>
      </c>
      <c r="I892" s="450">
        <v>0.3</v>
      </c>
      <c r="J892" s="450" t="s">
        <v>322</v>
      </c>
      <c r="K892" s="469">
        <v>77</v>
      </c>
      <c r="L892" s="470">
        <v>1</v>
      </c>
      <c r="M892" s="509"/>
    </row>
    <row r="893" spans="1:13" ht="12.75">
      <c r="A893" s="466" t="s">
        <v>318</v>
      </c>
      <c r="B893" s="450" t="s">
        <v>335</v>
      </c>
      <c r="C893" s="458" t="s">
        <v>392</v>
      </c>
      <c r="D893" s="449">
        <v>37743</v>
      </c>
      <c r="E893" s="450" t="s">
        <v>322</v>
      </c>
      <c r="F893" s="467">
        <v>1.5</v>
      </c>
      <c r="G893" s="467" t="s">
        <v>321</v>
      </c>
      <c r="H893" s="468">
        <v>0.5</v>
      </c>
      <c r="I893" s="450">
        <v>0.3</v>
      </c>
      <c r="J893" s="450" t="s">
        <v>322</v>
      </c>
      <c r="K893" s="469">
        <v>77</v>
      </c>
      <c r="L893" s="470">
        <v>1</v>
      </c>
      <c r="M893" s="509"/>
    </row>
    <row r="894" spans="1:13" ht="12.75">
      <c r="A894" s="466" t="s">
        <v>318</v>
      </c>
      <c r="B894" s="450" t="s">
        <v>335</v>
      </c>
      <c r="C894" s="458" t="s">
        <v>392</v>
      </c>
      <c r="D894" s="449">
        <v>37897</v>
      </c>
      <c r="E894" s="450" t="s">
        <v>322</v>
      </c>
      <c r="F894" s="467">
        <v>0.9</v>
      </c>
      <c r="G894" s="467" t="s">
        <v>321</v>
      </c>
      <c r="H894" s="468">
        <v>0.5</v>
      </c>
      <c r="I894" s="450">
        <v>0.3</v>
      </c>
      <c r="J894" s="450" t="s">
        <v>322</v>
      </c>
      <c r="K894" s="469">
        <v>77</v>
      </c>
      <c r="L894" s="470">
        <v>1</v>
      </c>
      <c r="M894" s="509"/>
    </row>
    <row r="895" spans="1:13" ht="12.75">
      <c r="A895" s="466" t="s">
        <v>318</v>
      </c>
      <c r="B895" s="450" t="s">
        <v>335</v>
      </c>
      <c r="C895" s="458" t="s">
        <v>392</v>
      </c>
      <c r="D895" s="449">
        <v>38113</v>
      </c>
      <c r="E895" s="450" t="s">
        <v>245</v>
      </c>
      <c r="F895" s="467">
        <v>0.6</v>
      </c>
      <c r="G895" s="467" t="s">
        <v>321</v>
      </c>
      <c r="H895" s="468">
        <v>1</v>
      </c>
      <c r="I895" s="450">
        <v>0.6</v>
      </c>
      <c r="J895" s="450" t="s">
        <v>322</v>
      </c>
      <c r="K895" s="469">
        <v>77</v>
      </c>
      <c r="L895" s="470">
        <v>1</v>
      </c>
      <c r="M895" s="509"/>
    </row>
    <row r="896" spans="1:13" ht="12.75">
      <c r="A896" s="466" t="s">
        <v>318</v>
      </c>
      <c r="B896" s="450" t="s">
        <v>335</v>
      </c>
      <c r="C896" s="458" t="s">
        <v>392</v>
      </c>
      <c r="D896" s="449">
        <v>38127</v>
      </c>
      <c r="E896" s="450" t="s">
        <v>245</v>
      </c>
      <c r="F896" s="467">
        <v>0.3</v>
      </c>
      <c r="G896" s="467" t="s">
        <v>321</v>
      </c>
      <c r="H896" s="468">
        <v>5</v>
      </c>
      <c r="I896" s="450">
        <v>0.3</v>
      </c>
      <c r="J896" s="450" t="s">
        <v>322</v>
      </c>
      <c r="K896" s="469">
        <v>77</v>
      </c>
      <c r="L896" s="470">
        <v>10</v>
      </c>
      <c r="M896" s="509"/>
    </row>
    <row r="897" spans="1:13" ht="12.75">
      <c r="A897" s="466" t="s">
        <v>318</v>
      </c>
      <c r="B897" s="450" t="s">
        <v>335</v>
      </c>
      <c r="C897" s="458" t="s">
        <v>392</v>
      </c>
      <c r="D897" s="449">
        <v>38273</v>
      </c>
      <c r="E897" s="450" t="s">
        <v>245</v>
      </c>
      <c r="F897" s="467">
        <v>0.06</v>
      </c>
      <c r="G897" s="467" t="s">
        <v>321</v>
      </c>
      <c r="H897" s="468">
        <v>0.5</v>
      </c>
      <c r="I897" s="450">
        <v>0.06</v>
      </c>
      <c r="J897" s="450" t="s">
        <v>322</v>
      </c>
      <c r="K897" s="469">
        <v>77</v>
      </c>
      <c r="L897" s="470">
        <v>1</v>
      </c>
      <c r="M897" s="509"/>
    </row>
    <row r="898" spans="1:13" ht="12.75">
      <c r="A898" s="466" t="s">
        <v>318</v>
      </c>
      <c r="B898" s="450" t="s">
        <v>335</v>
      </c>
      <c r="C898" s="458" t="s">
        <v>392</v>
      </c>
      <c r="D898" s="449">
        <v>38477</v>
      </c>
      <c r="E898" s="450" t="s">
        <v>259</v>
      </c>
      <c r="F898" s="467">
        <v>0.3</v>
      </c>
      <c r="G898" s="467" t="s">
        <v>321</v>
      </c>
      <c r="H898" s="468">
        <v>0.5</v>
      </c>
      <c r="I898" s="450">
        <v>0.06</v>
      </c>
      <c r="J898" s="450" t="s">
        <v>322</v>
      </c>
      <c r="K898" s="469">
        <v>77</v>
      </c>
      <c r="L898" s="470">
        <v>1</v>
      </c>
      <c r="M898" s="509"/>
    </row>
    <row r="899" spans="1:13" ht="12.75">
      <c r="A899" s="466" t="s">
        <v>318</v>
      </c>
      <c r="B899" s="450" t="s">
        <v>335</v>
      </c>
      <c r="C899" s="458" t="s">
        <v>392</v>
      </c>
      <c r="D899" s="449">
        <v>38638</v>
      </c>
      <c r="E899" s="450" t="s">
        <v>245</v>
      </c>
      <c r="F899" s="467">
        <v>0.96</v>
      </c>
      <c r="G899" s="467" t="s">
        <v>321</v>
      </c>
      <c r="H899" s="468">
        <v>1</v>
      </c>
      <c r="I899" s="450">
        <v>0.96</v>
      </c>
      <c r="J899" s="450" t="s">
        <v>322</v>
      </c>
      <c r="K899" s="469">
        <v>77</v>
      </c>
      <c r="L899" s="470">
        <v>1</v>
      </c>
      <c r="M899" s="509"/>
    </row>
    <row r="900" spans="1:13" ht="12.75">
      <c r="A900" s="466" t="s">
        <v>318</v>
      </c>
      <c r="B900" s="450" t="s">
        <v>359</v>
      </c>
      <c r="C900" s="458" t="s">
        <v>393</v>
      </c>
      <c r="D900" s="449">
        <v>37173</v>
      </c>
      <c r="E900" s="450" t="s">
        <v>245</v>
      </c>
      <c r="F900" s="467">
        <v>0.4</v>
      </c>
      <c r="G900" s="467" t="s">
        <v>321</v>
      </c>
      <c r="H900" s="468">
        <v>5</v>
      </c>
      <c r="I900" s="450">
        <v>0.4</v>
      </c>
      <c r="J900" s="450" t="s">
        <v>322</v>
      </c>
      <c r="K900" s="469">
        <v>78</v>
      </c>
      <c r="L900" s="470">
        <v>1</v>
      </c>
      <c r="M900" s="509"/>
    </row>
    <row r="901" spans="1:13" ht="12.75">
      <c r="A901" s="466" t="s">
        <v>318</v>
      </c>
      <c r="B901" s="450" t="s">
        <v>359</v>
      </c>
      <c r="C901" s="458" t="s">
        <v>393</v>
      </c>
      <c r="D901" s="449">
        <v>37386</v>
      </c>
      <c r="E901" s="450" t="s">
        <v>245</v>
      </c>
      <c r="F901" s="467">
        <v>0.4</v>
      </c>
      <c r="G901" s="467" t="s">
        <v>321</v>
      </c>
      <c r="H901" s="468">
        <v>5</v>
      </c>
      <c r="I901" s="450">
        <v>0.4</v>
      </c>
      <c r="J901" s="450" t="s">
        <v>322</v>
      </c>
      <c r="K901" s="469">
        <v>78</v>
      </c>
      <c r="L901" s="470">
        <v>1</v>
      </c>
      <c r="M901" s="509"/>
    </row>
    <row r="902" spans="1:13" ht="12.75">
      <c r="A902" s="466" t="s">
        <v>318</v>
      </c>
      <c r="B902" s="450" t="s">
        <v>359</v>
      </c>
      <c r="C902" s="458" t="s">
        <v>393</v>
      </c>
      <c r="D902" s="449">
        <v>37537</v>
      </c>
      <c r="E902" s="450" t="s">
        <v>245</v>
      </c>
      <c r="F902" s="467">
        <v>0.3</v>
      </c>
      <c r="G902" s="467" t="s">
        <v>321</v>
      </c>
      <c r="H902" s="468">
        <v>5</v>
      </c>
      <c r="I902" s="450">
        <v>0.3</v>
      </c>
      <c r="J902" s="450" t="s">
        <v>322</v>
      </c>
      <c r="K902" s="469">
        <v>78</v>
      </c>
      <c r="L902" s="470">
        <v>1</v>
      </c>
      <c r="M902" s="509"/>
    </row>
    <row r="903" spans="1:13" ht="12.75">
      <c r="A903" s="466" t="s">
        <v>318</v>
      </c>
      <c r="B903" s="450" t="s">
        <v>359</v>
      </c>
      <c r="C903" s="458" t="s">
        <v>393</v>
      </c>
      <c r="D903" s="449">
        <v>37743</v>
      </c>
      <c r="E903" s="450" t="s">
        <v>245</v>
      </c>
      <c r="F903" s="467">
        <v>0.3</v>
      </c>
      <c r="G903" s="467" t="s">
        <v>321</v>
      </c>
      <c r="H903" s="468">
        <v>5</v>
      </c>
      <c r="I903" s="450">
        <v>0.3</v>
      </c>
      <c r="J903" s="450" t="s">
        <v>322</v>
      </c>
      <c r="K903" s="469">
        <v>78</v>
      </c>
      <c r="L903" s="470">
        <v>1</v>
      </c>
      <c r="M903" s="509"/>
    </row>
    <row r="904" spans="1:13" ht="12.75">
      <c r="A904" s="466" t="s">
        <v>318</v>
      </c>
      <c r="B904" s="450" t="s">
        <v>359</v>
      </c>
      <c r="C904" s="458" t="s">
        <v>393</v>
      </c>
      <c r="D904" s="449">
        <v>37897</v>
      </c>
      <c r="E904" s="450" t="s">
        <v>245</v>
      </c>
      <c r="F904" s="467">
        <v>0.3</v>
      </c>
      <c r="G904" s="467" t="s">
        <v>321</v>
      </c>
      <c r="H904" s="468">
        <v>5</v>
      </c>
      <c r="I904" s="450">
        <v>0.3</v>
      </c>
      <c r="J904" s="450" t="s">
        <v>322</v>
      </c>
      <c r="K904" s="469">
        <v>78</v>
      </c>
      <c r="L904" s="470">
        <v>1</v>
      </c>
      <c r="M904" s="509"/>
    </row>
    <row r="905" spans="1:13" ht="12.75">
      <c r="A905" s="466" t="s">
        <v>318</v>
      </c>
      <c r="B905" s="450" t="s">
        <v>359</v>
      </c>
      <c r="C905" s="458" t="s">
        <v>393</v>
      </c>
      <c r="D905" s="449">
        <v>38113</v>
      </c>
      <c r="E905" s="450" t="s">
        <v>245</v>
      </c>
      <c r="F905" s="467">
        <v>0.3</v>
      </c>
      <c r="G905" s="467" t="s">
        <v>321</v>
      </c>
      <c r="H905" s="468">
        <v>5</v>
      </c>
      <c r="I905" s="450">
        <v>0.3</v>
      </c>
      <c r="J905" s="450" t="s">
        <v>322</v>
      </c>
      <c r="K905" s="469">
        <v>78</v>
      </c>
      <c r="L905" s="470">
        <v>1</v>
      </c>
      <c r="M905" s="509"/>
    </row>
    <row r="906" spans="1:13" ht="12.75">
      <c r="A906" s="466" t="s">
        <v>318</v>
      </c>
      <c r="B906" s="450" t="s">
        <v>359</v>
      </c>
      <c r="C906" s="458" t="s">
        <v>393</v>
      </c>
      <c r="D906" s="449">
        <v>38273</v>
      </c>
      <c r="E906" s="450" t="s">
        <v>245</v>
      </c>
      <c r="F906" s="467">
        <v>0.6</v>
      </c>
      <c r="G906" s="467" t="s">
        <v>321</v>
      </c>
      <c r="H906" s="468">
        <v>5</v>
      </c>
      <c r="I906" s="450">
        <v>0.6</v>
      </c>
      <c r="J906" s="450" t="s">
        <v>322</v>
      </c>
      <c r="K906" s="469">
        <v>78</v>
      </c>
      <c r="L906" s="470">
        <v>1</v>
      </c>
      <c r="M906" s="509"/>
    </row>
    <row r="907" spans="1:13" ht="12.75">
      <c r="A907" s="466" t="s">
        <v>318</v>
      </c>
      <c r="B907" s="450" t="s">
        <v>359</v>
      </c>
      <c r="C907" s="458" t="s">
        <v>393</v>
      </c>
      <c r="D907" s="449">
        <v>38477</v>
      </c>
      <c r="E907" s="450" t="s">
        <v>245</v>
      </c>
      <c r="F907" s="467">
        <v>0.57</v>
      </c>
      <c r="G907" s="467" t="s">
        <v>321</v>
      </c>
      <c r="H907" s="468">
        <v>5</v>
      </c>
      <c r="I907" s="450">
        <v>0.57</v>
      </c>
      <c r="J907" s="450" t="s">
        <v>322</v>
      </c>
      <c r="K907" s="469">
        <v>78</v>
      </c>
      <c r="L907" s="470">
        <v>1</v>
      </c>
      <c r="M907" s="509"/>
    </row>
    <row r="908" spans="1:13" ht="12.75">
      <c r="A908" s="466" t="s">
        <v>318</v>
      </c>
      <c r="B908" s="450" t="s">
        <v>359</v>
      </c>
      <c r="C908" s="458" t="s">
        <v>393</v>
      </c>
      <c r="D908" s="449">
        <v>38638</v>
      </c>
      <c r="E908" s="450" t="s">
        <v>245</v>
      </c>
      <c r="F908" s="467">
        <v>0.6</v>
      </c>
      <c r="G908" s="467" t="s">
        <v>321</v>
      </c>
      <c r="H908" s="468">
        <v>5</v>
      </c>
      <c r="I908" s="450">
        <v>0.6</v>
      </c>
      <c r="J908" s="450" t="s">
        <v>322</v>
      </c>
      <c r="K908" s="469">
        <v>78</v>
      </c>
      <c r="L908" s="470">
        <v>1</v>
      </c>
      <c r="M908" s="509"/>
    </row>
    <row r="909" spans="1:13" ht="12.75">
      <c r="A909" s="466" t="s">
        <v>318</v>
      </c>
      <c r="B909" s="450" t="s">
        <v>359</v>
      </c>
      <c r="C909" s="458" t="s">
        <v>394</v>
      </c>
      <c r="D909" s="449">
        <v>37173</v>
      </c>
      <c r="E909" s="450" t="s">
        <v>245</v>
      </c>
      <c r="F909" s="467">
        <v>0.4</v>
      </c>
      <c r="G909" s="467" t="s">
        <v>321</v>
      </c>
      <c r="H909" s="468">
        <v>2</v>
      </c>
      <c r="I909" s="450">
        <v>0.4</v>
      </c>
      <c r="J909" s="450" t="s">
        <v>322</v>
      </c>
      <c r="K909" s="469">
        <v>79</v>
      </c>
      <c r="L909" s="470">
        <v>1</v>
      </c>
      <c r="M909" s="509"/>
    </row>
    <row r="910" spans="1:13" ht="12.75">
      <c r="A910" s="466" t="s">
        <v>318</v>
      </c>
      <c r="B910" s="450" t="s">
        <v>359</v>
      </c>
      <c r="C910" s="458" t="s">
        <v>394</v>
      </c>
      <c r="D910" s="449">
        <v>37386</v>
      </c>
      <c r="E910" s="450" t="s">
        <v>245</v>
      </c>
      <c r="F910" s="467">
        <v>0.4</v>
      </c>
      <c r="G910" s="467" t="s">
        <v>321</v>
      </c>
      <c r="H910" s="468">
        <v>2</v>
      </c>
      <c r="I910" s="450">
        <v>0.4</v>
      </c>
      <c r="J910" s="450" t="s">
        <v>322</v>
      </c>
      <c r="K910" s="469">
        <v>79</v>
      </c>
      <c r="L910" s="470">
        <v>1</v>
      </c>
      <c r="M910" s="509"/>
    </row>
    <row r="911" spans="1:13" ht="12.75">
      <c r="A911" s="466" t="s">
        <v>318</v>
      </c>
      <c r="B911" s="450" t="s">
        <v>359</v>
      </c>
      <c r="C911" s="458" t="s">
        <v>394</v>
      </c>
      <c r="D911" s="449">
        <v>37537</v>
      </c>
      <c r="E911" s="450" t="s">
        <v>245</v>
      </c>
      <c r="F911" s="467">
        <v>0.7</v>
      </c>
      <c r="G911" s="467" t="s">
        <v>321</v>
      </c>
      <c r="H911" s="468">
        <v>2</v>
      </c>
      <c r="I911" s="450">
        <v>0.7</v>
      </c>
      <c r="J911" s="450" t="s">
        <v>322</v>
      </c>
      <c r="K911" s="469">
        <v>79</v>
      </c>
      <c r="L911" s="470">
        <v>1</v>
      </c>
      <c r="M911" s="509"/>
    </row>
    <row r="912" spans="1:13" ht="12.75">
      <c r="A912" s="466" t="s">
        <v>318</v>
      </c>
      <c r="B912" s="450" t="s">
        <v>359</v>
      </c>
      <c r="C912" s="458" t="s">
        <v>394</v>
      </c>
      <c r="D912" s="449">
        <v>37743</v>
      </c>
      <c r="E912" s="450" t="s">
        <v>245</v>
      </c>
      <c r="F912" s="467">
        <v>0.7</v>
      </c>
      <c r="G912" s="467" t="s">
        <v>321</v>
      </c>
      <c r="H912" s="468">
        <v>2</v>
      </c>
      <c r="I912" s="450">
        <v>0.7</v>
      </c>
      <c r="J912" s="450" t="s">
        <v>322</v>
      </c>
      <c r="K912" s="469">
        <v>79</v>
      </c>
      <c r="L912" s="470">
        <v>1</v>
      </c>
      <c r="M912" s="509"/>
    </row>
    <row r="913" spans="1:13" ht="12.75">
      <c r="A913" s="466" t="s">
        <v>318</v>
      </c>
      <c r="B913" s="450" t="s">
        <v>359</v>
      </c>
      <c r="C913" s="458" t="s">
        <v>394</v>
      </c>
      <c r="D913" s="449">
        <v>37897</v>
      </c>
      <c r="E913" s="450" t="s">
        <v>245</v>
      </c>
      <c r="F913" s="467">
        <v>0.7</v>
      </c>
      <c r="G913" s="467" t="s">
        <v>321</v>
      </c>
      <c r="H913" s="468">
        <v>2</v>
      </c>
      <c r="I913" s="450">
        <v>0.7</v>
      </c>
      <c r="J913" s="450" t="s">
        <v>322</v>
      </c>
      <c r="K913" s="469">
        <v>79</v>
      </c>
      <c r="L913" s="470">
        <v>1</v>
      </c>
      <c r="M913" s="509"/>
    </row>
    <row r="914" spans="1:13" ht="12.75">
      <c r="A914" s="466" t="s">
        <v>318</v>
      </c>
      <c r="B914" s="450" t="s">
        <v>359</v>
      </c>
      <c r="C914" s="458" t="s">
        <v>394</v>
      </c>
      <c r="D914" s="449">
        <v>38113</v>
      </c>
      <c r="E914" s="450" t="s">
        <v>245</v>
      </c>
      <c r="F914" s="467">
        <v>0.7</v>
      </c>
      <c r="G914" s="467" t="s">
        <v>321</v>
      </c>
      <c r="H914" s="468">
        <v>2</v>
      </c>
      <c r="I914" s="450">
        <v>0.7</v>
      </c>
      <c r="J914" s="450" t="s">
        <v>322</v>
      </c>
      <c r="K914" s="469">
        <v>79</v>
      </c>
      <c r="L914" s="470">
        <v>1</v>
      </c>
      <c r="M914" s="509"/>
    </row>
    <row r="915" spans="1:13" ht="12.75">
      <c r="A915" s="466" t="s">
        <v>318</v>
      </c>
      <c r="B915" s="450" t="s">
        <v>359</v>
      </c>
      <c r="C915" s="458" t="s">
        <v>394</v>
      </c>
      <c r="D915" s="449">
        <v>38273</v>
      </c>
      <c r="E915" s="450" t="s">
        <v>245</v>
      </c>
      <c r="F915" s="467">
        <v>0.9</v>
      </c>
      <c r="G915" s="467" t="s">
        <v>321</v>
      </c>
      <c r="H915" s="468">
        <v>2</v>
      </c>
      <c r="I915" s="450">
        <v>0.9</v>
      </c>
      <c r="J915" s="450" t="s">
        <v>322</v>
      </c>
      <c r="K915" s="469">
        <v>79</v>
      </c>
      <c r="L915" s="470">
        <v>1</v>
      </c>
      <c r="M915" s="509"/>
    </row>
    <row r="916" spans="1:13" ht="12.75">
      <c r="A916" s="466" t="s">
        <v>318</v>
      </c>
      <c r="B916" s="450" t="s">
        <v>359</v>
      </c>
      <c r="C916" s="458" t="s">
        <v>394</v>
      </c>
      <c r="D916" s="449">
        <v>38477</v>
      </c>
      <c r="E916" s="450" t="s">
        <v>245</v>
      </c>
      <c r="F916" s="467">
        <v>0.86</v>
      </c>
      <c r="G916" s="467" t="s">
        <v>321</v>
      </c>
      <c r="H916" s="468">
        <v>2</v>
      </c>
      <c r="I916" s="450">
        <v>0.86</v>
      </c>
      <c r="J916" s="450" t="s">
        <v>322</v>
      </c>
      <c r="K916" s="469">
        <v>79</v>
      </c>
      <c r="L916" s="470">
        <v>1</v>
      </c>
      <c r="M916" s="509"/>
    </row>
    <row r="917" spans="1:13" ht="12.75">
      <c r="A917" s="466" t="s">
        <v>318</v>
      </c>
      <c r="B917" s="450" t="s">
        <v>359</v>
      </c>
      <c r="C917" s="458" t="s">
        <v>394</v>
      </c>
      <c r="D917" s="449">
        <v>38638</v>
      </c>
      <c r="E917" s="450" t="s">
        <v>245</v>
      </c>
      <c r="F917" s="467">
        <v>0.9</v>
      </c>
      <c r="G917" s="467" t="s">
        <v>321</v>
      </c>
      <c r="H917" s="468">
        <v>2</v>
      </c>
      <c r="I917" s="450">
        <v>0.9</v>
      </c>
      <c r="J917" s="450" t="s">
        <v>322</v>
      </c>
      <c r="K917" s="469">
        <v>79</v>
      </c>
      <c r="L917" s="470">
        <v>1</v>
      </c>
      <c r="M917" s="509"/>
    </row>
    <row r="918" spans="1:13" ht="12.75">
      <c r="A918" s="466" t="s">
        <v>318</v>
      </c>
      <c r="B918" s="450" t="s">
        <v>359</v>
      </c>
      <c r="C918" s="458" t="s">
        <v>395</v>
      </c>
      <c r="D918" s="449">
        <v>37173</v>
      </c>
      <c r="E918" s="450" t="s">
        <v>245</v>
      </c>
      <c r="F918" s="467">
        <v>0.4</v>
      </c>
      <c r="G918" s="467" t="s">
        <v>321</v>
      </c>
      <c r="H918" s="468">
        <v>2</v>
      </c>
      <c r="I918" s="450">
        <v>0.4</v>
      </c>
      <c r="J918" s="450" t="s">
        <v>322</v>
      </c>
      <c r="K918" s="469">
        <v>80</v>
      </c>
      <c r="L918" s="470">
        <v>1</v>
      </c>
      <c r="M918" s="509"/>
    </row>
    <row r="919" spans="1:13" ht="12.75">
      <c r="A919" s="466" t="s">
        <v>318</v>
      </c>
      <c r="B919" s="450" t="s">
        <v>359</v>
      </c>
      <c r="C919" s="458" t="s">
        <v>395</v>
      </c>
      <c r="D919" s="449">
        <v>37386</v>
      </c>
      <c r="E919" s="450" t="s">
        <v>245</v>
      </c>
      <c r="F919" s="467">
        <v>0.4</v>
      </c>
      <c r="G919" s="467" t="s">
        <v>321</v>
      </c>
      <c r="H919" s="468">
        <v>2</v>
      </c>
      <c r="I919" s="450">
        <v>0.4</v>
      </c>
      <c r="J919" s="450" t="s">
        <v>322</v>
      </c>
      <c r="K919" s="469">
        <v>80</v>
      </c>
      <c r="L919" s="470">
        <v>1</v>
      </c>
      <c r="M919" s="509"/>
    </row>
    <row r="920" spans="1:13" ht="12.75">
      <c r="A920" s="466" t="s">
        <v>318</v>
      </c>
      <c r="B920" s="450" t="s">
        <v>359</v>
      </c>
      <c r="C920" s="458" t="s">
        <v>395</v>
      </c>
      <c r="D920" s="449">
        <v>37537</v>
      </c>
      <c r="E920" s="450" t="s">
        <v>245</v>
      </c>
      <c r="F920" s="467">
        <v>0.7</v>
      </c>
      <c r="G920" s="467" t="s">
        <v>321</v>
      </c>
      <c r="H920" s="468">
        <v>2</v>
      </c>
      <c r="I920" s="450">
        <v>0.7</v>
      </c>
      <c r="J920" s="450" t="s">
        <v>322</v>
      </c>
      <c r="K920" s="469">
        <v>80</v>
      </c>
      <c r="L920" s="470">
        <v>1</v>
      </c>
      <c r="M920" s="509"/>
    </row>
    <row r="921" spans="1:13" ht="12.75">
      <c r="A921" s="466" t="s">
        <v>318</v>
      </c>
      <c r="B921" s="450" t="s">
        <v>359</v>
      </c>
      <c r="C921" s="458" t="s">
        <v>395</v>
      </c>
      <c r="D921" s="449">
        <v>37743</v>
      </c>
      <c r="E921" s="450" t="s">
        <v>245</v>
      </c>
      <c r="F921" s="467">
        <v>0.7</v>
      </c>
      <c r="G921" s="467" t="s">
        <v>321</v>
      </c>
      <c r="H921" s="468">
        <v>2</v>
      </c>
      <c r="I921" s="450">
        <v>0.7</v>
      </c>
      <c r="J921" s="450" t="s">
        <v>322</v>
      </c>
      <c r="K921" s="469">
        <v>80</v>
      </c>
      <c r="L921" s="470">
        <v>1</v>
      </c>
      <c r="M921" s="509"/>
    </row>
    <row r="922" spans="1:13" ht="12.75">
      <c r="A922" s="466" t="s">
        <v>318</v>
      </c>
      <c r="B922" s="450" t="s">
        <v>359</v>
      </c>
      <c r="C922" s="458" t="s">
        <v>395</v>
      </c>
      <c r="D922" s="449">
        <v>37897</v>
      </c>
      <c r="E922" s="450" t="s">
        <v>245</v>
      </c>
      <c r="F922" s="467">
        <v>0.7</v>
      </c>
      <c r="G922" s="467" t="s">
        <v>321</v>
      </c>
      <c r="H922" s="468">
        <v>2</v>
      </c>
      <c r="I922" s="450">
        <v>0.7</v>
      </c>
      <c r="J922" s="450" t="s">
        <v>322</v>
      </c>
      <c r="K922" s="469">
        <v>80</v>
      </c>
      <c r="L922" s="470">
        <v>1</v>
      </c>
      <c r="M922" s="509"/>
    </row>
    <row r="923" spans="1:13" ht="12.75">
      <c r="A923" s="466" t="s">
        <v>318</v>
      </c>
      <c r="B923" s="450" t="s">
        <v>359</v>
      </c>
      <c r="C923" s="458" t="s">
        <v>395</v>
      </c>
      <c r="D923" s="449">
        <v>38113</v>
      </c>
      <c r="E923" s="450" t="s">
        <v>245</v>
      </c>
      <c r="F923" s="467">
        <v>0.7</v>
      </c>
      <c r="G923" s="467" t="s">
        <v>321</v>
      </c>
      <c r="H923" s="468">
        <v>2</v>
      </c>
      <c r="I923" s="450">
        <v>0.7</v>
      </c>
      <c r="J923" s="450" t="s">
        <v>322</v>
      </c>
      <c r="K923" s="469">
        <v>80</v>
      </c>
      <c r="L923" s="470">
        <v>1</v>
      </c>
      <c r="M923" s="509"/>
    </row>
    <row r="924" spans="1:13" ht="12.75">
      <c r="A924" s="466" t="s">
        <v>318</v>
      </c>
      <c r="B924" s="450" t="s">
        <v>359</v>
      </c>
      <c r="C924" s="458" t="s">
        <v>395</v>
      </c>
      <c r="D924" s="449">
        <v>38273</v>
      </c>
      <c r="E924" s="450" t="s">
        <v>245</v>
      </c>
      <c r="F924" s="467">
        <v>0.6</v>
      </c>
      <c r="G924" s="467" t="s">
        <v>321</v>
      </c>
      <c r="H924" s="468">
        <v>2</v>
      </c>
      <c r="I924" s="450">
        <v>0.6</v>
      </c>
      <c r="J924" s="450" t="s">
        <v>322</v>
      </c>
      <c r="K924" s="469">
        <v>80</v>
      </c>
      <c r="L924" s="470">
        <v>1</v>
      </c>
      <c r="M924" s="509"/>
    </row>
    <row r="925" spans="1:13" ht="12.75">
      <c r="A925" s="466" t="s">
        <v>318</v>
      </c>
      <c r="B925" s="450" t="s">
        <v>359</v>
      </c>
      <c r="C925" s="458" t="s">
        <v>395</v>
      </c>
      <c r="D925" s="449">
        <v>38477</v>
      </c>
      <c r="E925" s="450" t="s">
        <v>245</v>
      </c>
      <c r="F925" s="467">
        <v>0.57</v>
      </c>
      <c r="G925" s="467" t="s">
        <v>321</v>
      </c>
      <c r="H925" s="468">
        <v>2</v>
      </c>
      <c r="I925" s="450">
        <v>0.57</v>
      </c>
      <c r="J925" s="450" t="s">
        <v>322</v>
      </c>
      <c r="K925" s="469">
        <v>80</v>
      </c>
      <c r="L925" s="470">
        <v>1</v>
      </c>
      <c r="M925" s="509"/>
    </row>
    <row r="926" spans="1:13" ht="12.75">
      <c r="A926" s="466" t="s">
        <v>318</v>
      </c>
      <c r="B926" s="450" t="s">
        <v>359</v>
      </c>
      <c r="C926" s="458" t="s">
        <v>395</v>
      </c>
      <c r="D926" s="449">
        <v>38638</v>
      </c>
      <c r="E926" s="450" t="s">
        <v>245</v>
      </c>
      <c r="F926" s="467">
        <v>0.6</v>
      </c>
      <c r="G926" s="467" t="s">
        <v>321</v>
      </c>
      <c r="H926" s="468">
        <v>2</v>
      </c>
      <c r="I926" s="450">
        <v>0.6</v>
      </c>
      <c r="J926" s="450" t="s">
        <v>322</v>
      </c>
      <c r="K926" s="469">
        <v>80</v>
      </c>
      <c r="L926" s="470">
        <v>1</v>
      </c>
      <c r="M926" s="509"/>
    </row>
    <row r="927" spans="1:13" ht="12.75">
      <c r="A927" s="466" t="s">
        <v>318</v>
      </c>
      <c r="B927" s="450" t="s">
        <v>359</v>
      </c>
      <c r="C927" s="458" t="s">
        <v>396</v>
      </c>
      <c r="D927" s="449">
        <v>37173</v>
      </c>
      <c r="E927" s="450" t="s">
        <v>245</v>
      </c>
      <c r="F927" s="467">
        <v>0.4</v>
      </c>
      <c r="G927" s="467" t="s">
        <v>321</v>
      </c>
      <c r="H927" s="468">
        <v>5</v>
      </c>
      <c r="I927" s="450">
        <v>0.4</v>
      </c>
      <c r="J927" s="450" t="s">
        <v>322</v>
      </c>
      <c r="K927" s="469">
        <v>81</v>
      </c>
      <c r="L927" s="470">
        <v>1</v>
      </c>
      <c r="M927" s="509"/>
    </row>
    <row r="928" spans="1:13" ht="12.75">
      <c r="A928" s="466" t="s">
        <v>318</v>
      </c>
      <c r="B928" s="450" t="s">
        <v>359</v>
      </c>
      <c r="C928" s="458" t="s">
        <v>396</v>
      </c>
      <c r="D928" s="449">
        <v>37386</v>
      </c>
      <c r="E928" s="450" t="s">
        <v>245</v>
      </c>
      <c r="F928" s="467">
        <v>0.4</v>
      </c>
      <c r="G928" s="467" t="s">
        <v>321</v>
      </c>
      <c r="H928" s="468">
        <v>5</v>
      </c>
      <c r="I928" s="450">
        <v>0.4</v>
      </c>
      <c r="J928" s="450" t="s">
        <v>322</v>
      </c>
      <c r="K928" s="469">
        <v>81</v>
      </c>
      <c r="L928" s="470">
        <v>1</v>
      </c>
      <c r="M928" s="509"/>
    </row>
    <row r="929" spans="1:13" ht="12.75">
      <c r="A929" s="466" t="s">
        <v>318</v>
      </c>
      <c r="B929" s="450" t="s">
        <v>359</v>
      </c>
      <c r="C929" s="458" t="s">
        <v>396</v>
      </c>
      <c r="D929" s="449">
        <v>37537</v>
      </c>
      <c r="E929" s="450" t="s">
        <v>245</v>
      </c>
      <c r="F929" s="467">
        <v>1</v>
      </c>
      <c r="G929" s="467" t="s">
        <v>321</v>
      </c>
      <c r="H929" s="468">
        <v>5</v>
      </c>
      <c r="I929" s="450">
        <v>1</v>
      </c>
      <c r="J929" s="450" t="s">
        <v>322</v>
      </c>
      <c r="K929" s="469">
        <v>81</v>
      </c>
      <c r="L929" s="470">
        <v>1</v>
      </c>
      <c r="M929" s="509"/>
    </row>
    <row r="930" spans="1:13" ht="12.75">
      <c r="A930" s="466" t="s">
        <v>318</v>
      </c>
      <c r="B930" s="450" t="s">
        <v>359</v>
      </c>
      <c r="C930" s="458" t="s">
        <v>396</v>
      </c>
      <c r="D930" s="449">
        <v>37743</v>
      </c>
      <c r="E930" s="450" t="s">
        <v>245</v>
      </c>
      <c r="F930" s="467">
        <v>1</v>
      </c>
      <c r="G930" s="467" t="s">
        <v>321</v>
      </c>
      <c r="H930" s="468">
        <v>5</v>
      </c>
      <c r="I930" s="450">
        <v>1</v>
      </c>
      <c r="J930" s="450" t="s">
        <v>322</v>
      </c>
      <c r="K930" s="469">
        <v>81</v>
      </c>
      <c r="L930" s="470">
        <v>1</v>
      </c>
      <c r="M930" s="509"/>
    </row>
    <row r="931" spans="1:13" ht="12.75">
      <c r="A931" s="466" t="s">
        <v>318</v>
      </c>
      <c r="B931" s="450" t="s">
        <v>359</v>
      </c>
      <c r="C931" s="458" t="s">
        <v>396</v>
      </c>
      <c r="D931" s="449">
        <v>37897</v>
      </c>
      <c r="E931" s="450" t="s">
        <v>245</v>
      </c>
      <c r="F931" s="467">
        <v>1</v>
      </c>
      <c r="G931" s="467" t="s">
        <v>321</v>
      </c>
      <c r="H931" s="468">
        <v>5</v>
      </c>
      <c r="I931" s="450">
        <v>1</v>
      </c>
      <c r="J931" s="450" t="s">
        <v>322</v>
      </c>
      <c r="K931" s="469">
        <v>81</v>
      </c>
      <c r="L931" s="470">
        <v>1</v>
      </c>
      <c r="M931" s="509"/>
    </row>
    <row r="932" spans="1:13" ht="12.75">
      <c r="A932" s="466" t="s">
        <v>318</v>
      </c>
      <c r="B932" s="450" t="s">
        <v>359</v>
      </c>
      <c r="C932" s="458" t="s">
        <v>396</v>
      </c>
      <c r="D932" s="449">
        <v>38113</v>
      </c>
      <c r="E932" s="450" t="s">
        <v>245</v>
      </c>
      <c r="F932" s="467">
        <v>1</v>
      </c>
      <c r="G932" s="467" t="s">
        <v>321</v>
      </c>
      <c r="H932" s="468">
        <v>5</v>
      </c>
      <c r="I932" s="450">
        <v>1</v>
      </c>
      <c r="J932" s="450" t="s">
        <v>322</v>
      </c>
      <c r="K932" s="469">
        <v>81</v>
      </c>
      <c r="L932" s="470">
        <v>1</v>
      </c>
      <c r="M932" s="509"/>
    </row>
    <row r="933" spans="1:13" ht="12.75">
      <c r="A933" s="466" t="s">
        <v>318</v>
      </c>
      <c r="B933" s="450" t="s">
        <v>359</v>
      </c>
      <c r="C933" s="458" t="s">
        <v>396</v>
      </c>
      <c r="D933" s="449">
        <v>38273</v>
      </c>
      <c r="E933" s="450" t="s">
        <v>245</v>
      </c>
      <c r="F933" s="467">
        <v>0.6</v>
      </c>
      <c r="G933" s="467" t="s">
        <v>321</v>
      </c>
      <c r="H933" s="468">
        <v>5</v>
      </c>
      <c r="I933" s="450">
        <v>0.6</v>
      </c>
      <c r="J933" s="450" t="s">
        <v>322</v>
      </c>
      <c r="K933" s="469">
        <v>81</v>
      </c>
      <c r="L933" s="470">
        <v>1</v>
      </c>
      <c r="M933" s="509"/>
    </row>
    <row r="934" spans="1:13" ht="12.75">
      <c r="A934" s="466" t="s">
        <v>318</v>
      </c>
      <c r="B934" s="450" t="s">
        <v>359</v>
      </c>
      <c r="C934" s="458" t="s">
        <v>396</v>
      </c>
      <c r="D934" s="449">
        <v>38477</v>
      </c>
      <c r="E934" s="450" t="s">
        <v>245</v>
      </c>
      <c r="F934" s="467">
        <v>0.57</v>
      </c>
      <c r="G934" s="467" t="s">
        <v>321</v>
      </c>
      <c r="H934" s="468">
        <v>5</v>
      </c>
      <c r="I934" s="450">
        <v>0.57</v>
      </c>
      <c r="J934" s="450" t="s">
        <v>322</v>
      </c>
      <c r="K934" s="469">
        <v>81</v>
      </c>
      <c r="L934" s="470">
        <v>1</v>
      </c>
      <c r="M934" s="509"/>
    </row>
    <row r="935" spans="1:13" ht="12.75">
      <c r="A935" s="466" t="s">
        <v>318</v>
      </c>
      <c r="B935" s="450" t="s">
        <v>359</v>
      </c>
      <c r="C935" s="458" t="s">
        <v>396</v>
      </c>
      <c r="D935" s="449">
        <v>38638</v>
      </c>
      <c r="E935" s="450" t="s">
        <v>245</v>
      </c>
      <c r="F935" s="467">
        <v>0.6</v>
      </c>
      <c r="G935" s="467" t="s">
        <v>321</v>
      </c>
      <c r="H935" s="468">
        <v>5</v>
      </c>
      <c r="I935" s="450">
        <v>0.6</v>
      </c>
      <c r="J935" s="450" t="s">
        <v>322</v>
      </c>
      <c r="K935" s="469">
        <v>81</v>
      </c>
      <c r="L935" s="470">
        <v>1</v>
      </c>
      <c r="M935" s="509"/>
    </row>
    <row r="936" spans="1:13" ht="12.75">
      <c r="A936" s="466" t="s">
        <v>318</v>
      </c>
      <c r="B936" s="450" t="s">
        <v>359</v>
      </c>
      <c r="C936" s="458" t="s">
        <v>397</v>
      </c>
      <c r="D936" s="449">
        <v>37173</v>
      </c>
      <c r="E936" s="450" t="s">
        <v>245</v>
      </c>
      <c r="F936" s="467">
        <v>0.3</v>
      </c>
      <c r="G936" s="467" t="s">
        <v>321</v>
      </c>
      <c r="H936" s="468">
        <v>5</v>
      </c>
      <c r="I936" s="450">
        <v>0.3</v>
      </c>
      <c r="J936" s="450" t="s">
        <v>322</v>
      </c>
      <c r="K936" s="469">
        <v>82</v>
      </c>
      <c r="L936" s="470">
        <v>1</v>
      </c>
      <c r="M936" s="509"/>
    </row>
    <row r="937" spans="1:13" ht="12.75">
      <c r="A937" s="466" t="s">
        <v>318</v>
      </c>
      <c r="B937" s="450" t="s">
        <v>359</v>
      </c>
      <c r="C937" s="458" t="s">
        <v>397</v>
      </c>
      <c r="D937" s="449">
        <v>37386</v>
      </c>
      <c r="E937" s="450" t="s">
        <v>245</v>
      </c>
      <c r="F937" s="467">
        <v>0.3</v>
      </c>
      <c r="G937" s="467" t="s">
        <v>321</v>
      </c>
      <c r="H937" s="468">
        <v>5</v>
      </c>
      <c r="I937" s="450">
        <v>0.3</v>
      </c>
      <c r="J937" s="450" t="s">
        <v>322</v>
      </c>
      <c r="K937" s="469">
        <v>82</v>
      </c>
      <c r="L937" s="470">
        <v>1</v>
      </c>
      <c r="M937" s="509"/>
    </row>
    <row r="938" spans="1:13" ht="12.75">
      <c r="A938" s="466" t="s">
        <v>318</v>
      </c>
      <c r="B938" s="450" t="s">
        <v>359</v>
      </c>
      <c r="C938" s="458" t="s">
        <v>397</v>
      </c>
      <c r="D938" s="449">
        <v>37537</v>
      </c>
      <c r="E938" s="450" t="s">
        <v>245</v>
      </c>
      <c r="F938" s="467">
        <v>0.6</v>
      </c>
      <c r="G938" s="467" t="s">
        <v>321</v>
      </c>
      <c r="H938" s="468">
        <v>5</v>
      </c>
      <c r="I938" s="450">
        <v>0.6</v>
      </c>
      <c r="J938" s="450" t="s">
        <v>322</v>
      </c>
      <c r="K938" s="469">
        <v>82</v>
      </c>
      <c r="L938" s="470">
        <v>1</v>
      </c>
      <c r="M938" s="509"/>
    </row>
    <row r="939" spans="1:13" ht="12.75">
      <c r="A939" s="466" t="s">
        <v>318</v>
      </c>
      <c r="B939" s="450" t="s">
        <v>359</v>
      </c>
      <c r="C939" s="458" t="s">
        <v>397</v>
      </c>
      <c r="D939" s="449">
        <v>37743</v>
      </c>
      <c r="E939" s="450" t="s">
        <v>245</v>
      </c>
      <c r="F939" s="467">
        <v>0.6</v>
      </c>
      <c r="G939" s="467" t="s">
        <v>321</v>
      </c>
      <c r="H939" s="468">
        <v>5</v>
      </c>
      <c r="I939" s="450">
        <v>0.6</v>
      </c>
      <c r="J939" s="450" t="s">
        <v>322</v>
      </c>
      <c r="K939" s="469">
        <v>82</v>
      </c>
      <c r="L939" s="470">
        <v>1</v>
      </c>
      <c r="M939" s="509"/>
    </row>
    <row r="940" spans="1:13" ht="12.75">
      <c r="A940" s="466" t="s">
        <v>318</v>
      </c>
      <c r="B940" s="450" t="s">
        <v>359</v>
      </c>
      <c r="C940" s="458" t="s">
        <v>397</v>
      </c>
      <c r="D940" s="449">
        <v>37897</v>
      </c>
      <c r="E940" s="450" t="s">
        <v>245</v>
      </c>
      <c r="F940" s="467">
        <v>0.6</v>
      </c>
      <c r="G940" s="467" t="s">
        <v>321</v>
      </c>
      <c r="H940" s="468">
        <v>5</v>
      </c>
      <c r="I940" s="450">
        <v>0.6</v>
      </c>
      <c r="J940" s="450" t="s">
        <v>322</v>
      </c>
      <c r="K940" s="469">
        <v>82</v>
      </c>
      <c r="L940" s="470">
        <v>1</v>
      </c>
      <c r="M940" s="509"/>
    </row>
    <row r="941" spans="1:13" ht="12.75">
      <c r="A941" s="466" t="s">
        <v>318</v>
      </c>
      <c r="B941" s="450" t="s">
        <v>359</v>
      </c>
      <c r="C941" s="458" t="s">
        <v>397</v>
      </c>
      <c r="D941" s="449">
        <v>38113</v>
      </c>
      <c r="E941" s="450" t="s">
        <v>245</v>
      </c>
      <c r="F941" s="467">
        <v>0.6</v>
      </c>
      <c r="G941" s="467" t="s">
        <v>321</v>
      </c>
      <c r="H941" s="468">
        <v>5</v>
      </c>
      <c r="I941" s="450">
        <v>0.6</v>
      </c>
      <c r="J941" s="450" t="s">
        <v>322</v>
      </c>
      <c r="K941" s="469">
        <v>82</v>
      </c>
      <c r="L941" s="470">
        <v>1</v>
      </c>
      <c r="M941" s="509"/>
    </row>
    <row r="942" spans="1:13" ht="12.75">
      <c r="A942" s="466" t="s">
        <v>318</v>
      </c>
      <c r="B942" s="450" t="s">
        <v>359</v>
      </c>
      <c r="C942" s="458" t="s">
        <v>397</v>
      </c>
      <c r="D942" s="449">
        <v>38273</v>
      </c>
      <c r="E942" s="450" t="s">
        <v>245</v>
      </c>
      <c r="F942" s="467">
        <v>0.9</v>
      </c>
      <c r="G942" s="467" t="s">
        <v>321</v>
      </c>
      <c r="H942" s="468">
        <v>5</v>
      </c>
      <c r="I942" s="450">
        <v>0.9</v>
      </c>
      <c r="J942" s="450" t="s">
        <v>322</v>
      </c>
      <c r="K942" s="469">
        <v>82</v>
      </c>
      <c r="L942" s="470">
        <v>1</v>
      </c>
      <c r="M942" s="509"/>
    </row>
    <row r="943" spans="1:13" ht="12.75">
      <c r="A943" s="466" t="s">
        <v>318</v>
      </c>
      <c r="B943" s="450" t="s">
        <v>359</v>
      </c>
      <c r="C943" s="458" t="s">
        <v>397</v>
      </c>
      <c r="D943" s="449">
        <v>38477</v>
      </c>
      <c r="E943" s="450" t="s">
        <v>245</v>
      </c>
      <c r="F943" s="467">
        <v>0.86</v>
      </c>
      <c r="G943" s="467" t="s">
        <v>321</v>
      </c>
      <c r="H943" s="468">
        <v>5</v>
      </c>
      <c r="I943" s="450">
        <v>0.86</v>
      </c>
      <c r="J943" s="450" t="s">
        <v>322</v>
      </c>
      <c r="K943" s="469">
        <v>82</v>
      </c>
      <c r="L943" s="470">
        <v>1</v>
      </c>
      <c r="M943" s="509"/>
    </row>
    <row r="944" spans="1:13" ht="12.75">
      <c r="A944" s="466" t="s">
        <v>318</v>
      </c>
      <c r="B944" s="450" t="s">
        <v>359</v>
      </c>
      <c r="C944" s="458" t="s">
        <v>397</v>
      </c>
      <c r="D944" s="449">
        <v>38638</v>
      </c>
      <c r="E944" s="450" t="s">
        <v>245</v>
      </c>
      <c r="F944" s="467">
        <v>0.9</v>
      </c>
      <c r="G944" s="467" t="s">
        <v>321</v>
      </c>
      <c r="H944" s="468">
        <v>5</v>
      </c>
      <c r="I944" s="450">
        <v>0.9</v>
      </c>
      <c r="J944" s="450" t="s">
        <v>322</v>
      </c>
      <c r="K944" s="469">
        <v>82</v>
      </c>
      <c r="L944" s="470">
        <v>1</v>
      </c>
      <c r="M944" s="509"/>
    </row>
    <row r="945" spans="1:13" ht="12.75">
      <c r="A945" s="466" t="s">
        <v>318</v>
      </c>
      <c r="B945" s="450" t="s">
        <v>359</v>
      </c>
      <c r="C945" s="458" t="s">
        <v>398</v>
      </c>
      <c r="D945" s="449">
        <v>37173</v>
      </c>
      <c r="E945" s="450" t="s">
        <v>245</v>
      </c>
      <c r="F945" s="467">
        <v>0.3</v>
      </c>
      <c r="G945" s="467" t="s">
        <v>321</v>
      </c>
      <c r="H945" s="468">
        <v>5</v>
      </c>
      <c r="I945" s="450">
        <v>0.3</v>
      </c>
      <c r="J945" s="450" t="s">
        <v>322</v>
      </c>
      <c r="K945" s="469">
        <v>83</v>
      </c>
      <c r="L945" s="470">
        <v>1</v>
      </c>
      <c r="M945" s="509"/>
    </row>
    <row r="946" spans="1:13" ht="12.75">
      <c r="A946" s="466" t="s">
        <v>318</v>
      </c>
      <c r="B946" s="450" t="s">
        <v>359</v>
      </c>
      <c r="C946" s="458" t="s">
        <v>398</v>
      </c>
      <c r="D946" s="449">
        <v>37386</v>
      </c>
      <c r="E946" s="450" t="s">
        <v>245</v>
      </c>
      <c r="F946" s="467">
        <v>0.3</v>
      </c>
      <c r="G946" s="467" t="s">
        <v>321</v>
      </c>
      <c r="H946" s="468">
        <v>5</v>
      </c>
      <c r="I946" s="450">
        <v>0.3</v>
      </c>
      <c r="J946" s="450" t="s">
        <v>322</v>
      </c>
      <c r="K946" s="469">
        <v>83</v>
      </c>
      <c r="L946" s="470">
        <v>1</v>
      </c>
      <c r="M946" s="509"/>
    </row>
    <row r="947" spans="1:13" ht="12.75">
      <c r="A947" s="466" t="s">
        <v>318</v>
      </c>
      <c r="B947" s="450" t="s">
        <v>359</v>
      </c>
      <c r="C947" s="458" t="s">
        <v>398</v>
      </c>
      <c r="D947" s="449">
        <v>37537</v>
      </c>
      <c r="E947" s="450" t="s">
        <v>245</v>
      </c>
      <c r="F947" s="467">
        <v>0.6</v>
      </c>
      <c r="G947" s="467" t="s">
        <v>321</v>
      </c>
      <c r="H947" s="468">
        <v>5</v>
      </c>
      <c r="I947" s="450">
        <v>0.6</v>
      </c>
      <c r="J947" s="450" t="s">
        <v>322</v>
      </c>
      <c r="K947" s="469">
        <v>83</v>
      </c>
      <c r="L947" s="470">
        <v>1</v>
      </c>
      <c r="M947" s="509"/>
    </row>
    <row r="948" spans="1:13" ht="12.75">
      <c r="A948" s="466" t="s">
        <v>318</v>
      </c>
      <c r="B948" s="450" t="s">
        <v>359</v>
      </c>
      <c r="C948" s="458" t="s">
        <v>398</v>
      </c>
      <c r="D948" s="449">
        <v>37743</v>
      </c>
      <c r="E948" s="450" t="s">
        <v>245</v>
      </c>
      <c r="F948" s="467">
        <v>0.6</v>
      </c>
      <c r="G948" s="467" t="s">
        <v>321</v>
      </c>
      <c r="H948" s="468">
        <v>5</v>
      </c>
      <c r="I948" s="450">
        <v>0.6</v>
      </c>
      <c r="J948" s="450" t="s">
        <v>322</v>
      </c>
      <c r="K948" s="469">
        <v>83</v>
      </c>
      <c r="L948" s="470">
        <v>1</v>
      </c>
      <c r="M948" s="509"/>
    </row>
    <row r="949" spans="1:13" ht="12.75">
      <c r="A949" s="466" t="s">
        <v>318</v>
      </c>
      <c r="B949" s="450" t="s">
        <v>359</v>
      </c>
      <c r="C949" s="458" t="s">
        <v>398</v>
      </c>
      <c r="D949" s="449">
        <v>37897</v>
      </c>
      <c r="E949" s="450" t="s">
        <v>245</v>
      </c>
      <c r="F949" s="467">
        <v>0.6</v>
      </c>
      <c r="G949" s="467" t="s">
        <v>321</v>
      </c>
      <c r="H949" s="468">
        <v>5</v>
      </c>
      <c r="I949" s="450">
        <v>0.6</v>
      </c>
      <c r="J949" s="450" t="s">
        <v>322</v>
      </c>
      <c r="K949" s="469">
        <v>83</v>
      </c>
      <c r="L949" s="470">
        <v>1</v>
      </c>
      <c r="M949" s="509"/>
    </row>
    <row r="950" spans="1:13" ht="12.75">
      <c r="A950" s="466" t="s">
        <v>318</v>
      </c>
      <c r="B950" s="450" t="s">
        <v>359</v>
      </c>
      <c r="C950" s="458" t="s">
        <v>398</v>
      </c>
      <c r="D950" s="449">
        <v>38113</v>
      </c>
      <c r="E950" s="450" t="s">
        <v>245</v>
      </c>
      <c r="F950" s="467">
        <v>0.6</v>
      </c>
      <c r="G950" s="467" t="s">
        <v>321</v>
      </c>
      <c r="H950" s="468">
        <v>5</v>
      </c>
      <c r="I950" s="450">
        <v>0.6</v>
      </c>
      <c r="J950" s="450" t="s">
        <v>322</v>
      </c>
      <c r="K950" s="469">
        <v>83</v>
      </c>
      <c r="L950" s="470">
        <v>1</v>
      </c>
      <c r="M950" s="509"/>
    </row>
    <row r="951" spans="1:13" ht="12.75">
      <c r="A951" s="466" t="s">
        <v>318</v>
      </c>
      <c r="B951" s="450" t="s">
        <v>359</v>
      </c>
      <c r="C951" s="458" t="s">
        <v>398</v>
      </c>
      <c r="D951" s="449">
        <v>38273</v>
      </c>
      <c r="E951" s="450" t="s">
        <v>245</v>
      </c>
      <c r="F951" s="467">
        <v>0.5</v>
      </c>
      <c r="G951" s="467" t="s">
        <v>321</v>
      </c>
      <c r="H951" s="468">
        <v>5</v>
      </c>
      <c r="I951" s="450">
        <v>0.5</v>
      </c>
      <c r="J951" s="450" t="s">
        <v>322</v>
      </c>
      <c r="K951" s="469">
        <v>83</v>
      </c>
      <c r="L951" s="470">
        <v>1</v>
      </c>
      <c r="M951" s="509"/>
    </row>
    <row r="952" spans="1:13" ht="12.75">
      <c r="A952" s="466" t="s">
        <v>318</v>
      </c>
      <c r="B952" s="450" t="s">
        <v>359</v>
      </c>
      <c r="C952" s="458" t="s">
        <v>398</v>
      </c>
      <c r="D952" s="449">
        <v>38477</v>
      </c>
      <c r="E952" s="450" t="s">
        <v>245</v>
      </c>
      <c r="F952" s="467">
        <v>0.48</v>
      </c>
      <c r="G952" s="467" t="s">
        <v>321</v>
      </c>
      <c r="H952" s="468">
        <v>5</v>
      </c>
      <c r="I952" s="450">
        <v>0.48</v>
      </c>
      <c r="J952" s="450" t="s">
        <v>322</v>
      </c>
      <c r="K952" s="469">
        <v>83</v>
      </c>
      <c r="L952" s="470">
        <v>1</v>
      </c>
      <c r="M952" s="509"/>
    </row>
    <row r="953" spans="1:13" ht="12.75">
      <c r="A953" s="466" t="s">
        <v>318</v>
      </c>
      <c r="B953" s="450" t="s">
        <v>359</v>
      </c>
      <c r="C953" s="458" t="s">
        <v>398</v>
      </c>
      <c r="D953" s="449">
        <v>38638</v>
      </c>
      <c r="E953" s="450" t="s">
        <v>245</v>
      </c>
      <c r="F953" s="467">
        <v>0.5</v>
      </c>
      <c r="G953" s="467" t="s">
        <v>321</v>
      </c>
      <c r="H953" s="468">
        <v>5</v>
      </c>
      <c r="I953" s="450">
        <v>0.5</v>
      </c>
      <c r="J953" s="450" t="s">
        <v>322</v>
      </c>
      <c r="K953" s="469">
        <v>83</v>
      </c>
      <c r="L953" s="470">
        <v>1</v>
      </c>
      <c r="M953" s="509"/>
    </row>
    <row r="954" spans="1:13" ht="12.75">
      <c r="A954" s="466" t="s">
        <v>318</v>
      </c>
      <c r="B954" s="450" t="s">
        <v>359</v>
      </c>
      <c r="C954" s="458" t="s">
        <v>399</v>
      </c>
      <c r="D954" s="449">
        <v>37173</v>
      </c>
      <c r="E954" s="450" t="s">
        <v>245</v>
      </c>
      <c r="F954" s="467">
        <v>0.4</v>
      </c>
      <c r="G954" s="467" t="s">
        <v>321</v>
      </c>
      <c r="H954" s="468">
        <v>5</v>
      </c>
      <c r="I954" s="450">
        <v>0.4</v>
      </c>
      <c r="J954" s="450" t="s">
        <v>322</v>
      </c>
      <c r="K954" s="469">
        <v>84</v>
      </c>
      <c r="L954" s="470">
        <v>1</v>
      </c>
      <c r="M954" s="509"/>
    </row>
    <row r="955" spans="1:13" ht="12.75">
      <c r="A955" s="466" t="s">
        <v>318</v>
      </c>
      <c r="B955" s="450" t="s">
        <v>359</v>
      </c>
      <c r="C955" s="458" t="s">
        <v>399</v>
      </c>
      <c r="D955" s="449">
        <v>37386</v>
      </c>
      <c r="E955" s="450" t="s">
        <v>245</v>
      </c>
      <c r="F955" s="467">
        <v>0.4</v>
      </c>
      <c r="G955" s="467" t="s">
        <v>321</v>
      </c>
      <c r="H955" s="468">
        <v>5</v>
      </c>
      <c r="I955" s="450">
        <v>0.4</v>
      </c>
      <c r="J955" s="450" t="s">
        <v>322</v>
      </c>
      <c r="K955" s="469">
        <v>84</v>
      </c>
      <c r="L955" s="470">
        <v>1</v>
      </c>
      <c r="M955" s="509"/>
    </row>
    <row r="956" spans="1:13" ht="12.75">
      <c r="A956" s="466" t="s">
        <v>318</v>
      </c>
      <c r="B956" s="450" t="s">
        <v>359</v>
      </c>
      <c r="C956" s="458" t="s">
        <v>399</v>
      </c>
      <c r="D956" s="449">
        <v>37537</v>
      </c>
      <c r="E956" s="450" t="s">
        <v>245</v>
      </c>
      <c r="F956" s="467">
        <v>0.9</v>
      </c>
      <c r="G956" s="467" t="s">
        <v>321</v>
      </c>
      <c r="H956" s="468">
        <v>5</v>
      </c>
      <c r="I956" s="450">
        <v>0.9</v>
      </c>
      <c r="J956" s="450" t="s">
        <v>322</v>
      </c>
      <c r="K956" s="469">
        <v>84</v>
      </c>
      <c r="L956" s="470">
        <v>1</v>
      </c>
      <c r="M956" s="509"/>
    </row>
    <row r="957" spans="1:13" ht="12.75">
      <c r="A957" s="466" t="s">
        <v>318</v>
      </c>
      <c r="B957" s="450" t="s">
        <v>359</v>
      </c>
      <c r="C957" s="458" t="s">
        <v>399</v>
      </c>
      <c r="D957" s="449">
        <v>37743</v>
      </c>
      <c r="E957" s="450" t="s">
        <v>245</v>
      </c>
      <c r="F957" s="467">
        <v>0.9</v>
      </c>
      <c r="G957" s="467" t="s">
        <v>321</v>
      </c>
      <c r="H957" s="468">
        <v>5</v>
      </c>
      <c r="I957" s="450">
        <v>0.9</v>
      </c>
      <c r="J957" s="450" t="s">
        <v>322</v>
      </c>
      <c r="K957" s="469">
        <v>84</v>
      </c>
      <c r="L957" s="470">
        <v>1</v>
      </c>
      <c r="M957" s="509"/>
    </row>
    <row r="958" spans="1:13" ht="12.75">
      <c r="A958" s="466" t="s">
        <v>318</v>
      </c>
      <c r="B958" s="450" t="s">
        <v>359</v>
      </c>
      <c r="C958" s="458" t="s">
        <v>399</v>
      </c>
      <c r="D958" s="449">
        <v>37897</v>
      </c>
      <c r="E958" s="450" t="s">
        <v>245</v>
      </c>
      <c r="F958" s="467">
        <v>0.9</v>
      </c>
      <c r="G958" s="467" t="s">
        <v>321</v>
      </c>
      <c r="H958" s="468">
        <v>5</v>
      </c>
      <c r="I958" s="450">
        <v>0.9</v>
      </c>
      <c r="J958" s="450" t="s">
        <v>322</v>
      </c>
      <c r="K958" s="469">
        <v>84</v>
      </c>
      <c r="L958" s="470">
        <v>1</v>
      </c>
      <c r="M958" s="509"/>
    </row>
    <row r="959" spans="1:13" ht="12.75">
      <c r="A959" s="466" t="s">
        <v>318</v>
      </c>
      <c r="B959" s="450" t="s">
        <v>359</v>
      </c>
      <c r="C959" s="458" t="s">
        <v>399</v>
      </c>
      <c r="D959" s="449">
        <v>38113</v>
      </c>
      <c r="E959" s="450" t="s">
        <v>245</v>
      </c>
      <c r="F959" s="467">
        <v>0.9</v>
      </c>
      <c r="G959" s="467" t="s">
        <v>321</v>
      </c>
      <c r="H959" s="468">
        <v>5</v>
      </c>
      <c r="I959" s="450">
        <v>0.9</v>
      </c>
      <c r="J959" s="450" t="s">
        <v>322</v>
      </c>
      <c r="K959" s="469">
        <v>84</v>
      </c>
      <c r="L959" s="470">
        <v>1</v>
      </c>
      <c r="M959" s="509"/>
    </row>
    <row r="960" spans="1:13" ht="12.75">
      <c r="A960" s="466" t="s">
        <v>318</v>
      </c>
      <c r="B960" s="450" t="s">
        <v>359</v>
      </c>
      <c r="C960" s="458" t="s">
        <v>399</v>
      </c>
      <c r="D960" s="449">
        <v>38273</v>
      </c>
      <c r="E960" s="450" t="s">
        <v>245</v>
      </c>
      <c r="F960" s="467">
        <v>0.7</v>
      </c>
      <c r="G960" s="467" t="s">
        <v>321</v>
      </c>
      <c r="H960" s="468">
        <v>5</v>
      </c>
      <c r="I960" s="450">
        <v>0.7</v>
      </c>
      <c r="J960" s="450" t="s">
        <v>322</v>
      </c>
      <c r="K960" s="469">
        <v>84</v>
      </c>
      <c r="L960" s="470">
        <v>1</v>
      </c>
      <c r="M960" s="509"/>
    </row>
    <row r="961" spans="1:13" ht="12.75">
      <c r="A961" s="466" t="s">
        <v>318</v>
      </c>
      <c r="B961" s="450" t="s">
        <v>359</v>
      </c>
      <c r="C961" s="458" t="s">
        <v>399</v>
      </c>
      <c r="D961" s="449">
        <v>38477</v>
      </c>
      <c r="E961" s="450" t="s">
        <v>245</v>
      </c>
      <c r="F961" s="467">
        <v>5</v>
      </c>
      <c r="G961" s="467" t="s">
        <v>321</v>
      </c>
      <c r="H961" s="468">
        <v>5</v>
      </c>
      <c r="I961" s="450">
        <v>0.67</v>
      </c>
      <c r="J961" s="450" t="s">
        <v>322</v>
      </c>
      <c r="K961" s="469">
        <v>84</v>
      </c>
      <c r="L961" s="470">
        <v>1</v>
      </c>
      <c r="M961" s="509"/>
    </row>
    <row r="962" spans="1:13" ht="12.75">
      <c r="A962" s="466" t="s">
        <v>318</v>
      </c>
      <c r="B962" s="450" t="s">
        <v>359</v>
      </c>
      <c r="C962" s="458" t="s">
        <v>399</v>
      </c>
      <c r="D962" s="449">
        <v>38638</v>
      </c>
      <c r="E962" s="450" t="s">
        <v>245</v>
      </c>
      <c r="F962" s="467">
        <v>0.7</v>
      </c>
      <c r="G962" s="467" t="s">
        <v>321</v>
      </c>
      <c r="H962" s="468">
        <v>5</v>
      </c>
      <c r="I962" s="450">
        <v>0.7</v>
      </c>
      <c r="J962" s="450" t="s">
        <v>322</v>
      </c>
      <c r="K962" s="469">
        <v>84</v>
      </c>
      <c r="L962" s="470">
        <v>1</v>
      </c>
      <c r="M962" s="509"/>
    </row>
    <row r="963" spans="1:13" ht="12.75">
      <c r="A963" s="466" t="s">
        <v>318</v>
      </c>
      <c r="B963" s="450" t="s">
        <v>359</v>
      </c>
      <c r="C963" s="458" t="s">
        <v>400</v>
      </c>
      <c r="D963" s="449">
        <v>37173</v>
      </c>
      <c r="E963" s="450" t="s">
        <v>245</v>
      </c>
      <c r="F963" s="467">
        <v>0.3</v>
      </c>
      <c r="G963" s="467" t="s">
        <v>321</v>
      </c>
      <c r="H963" s="468">
        <v>1</v>
      </c>
      <c r="I963" s="450">
        <v>0.3</v>
      </c>
      <c r="J963" s="450" t="s">
        <v>322</v>
      </c>
      <c r="K963" s="469">
        <v>85</v>
      </c>
      <c r="L963" s="470">
        <v>1</v>
      </c>
      <c r="M963" s="509"/>
    </row>
    <row r="964" spans="1:13" ht="12.75">
      <c r="A964" s="466" t="s">
        <v>318</v>
      </c>
      <c r="B964" s="450" t="s">
        <v>359</v>
      </c>
      <c r="C964" s="458" t="s">
        <v>400</v>
      </c>
      <c r="D964" s="449">
        <v>37386</v>
      </c>
      <c r="E964" s="450" t="s">
        <v>245</v>
      </c>
      <c r="F964" s="467">
        <v>0.3</v>
      </c>
      <c r="G964" s="467" t="s">
        <v>321</v>
      </c>
      <c r="H964" s="468">
        <v>1</v>
      </c>
      <c r="I964" s="450">
        <v>0.3</v>
      </c>
      <c r="J964" s="450" t="s">
        <v>322</v>
      </c>
      <c r="K964" s="469">
        <v>85</v>
      </c>
      <c r="L964" s="470">
        <v>1</v>
      </c>
      <c r="M964" s="509"/>
    </row>
    <row r="965" spans="1:13" ht="12.75">
      <c r="A965" s="466" t="s">
        <v>318</v>
      </c>
      <c r="B965" s="450" t="s">
        <v>359</v>
      </c>
      <c r="C965" s="458" t="s">
        <v>400</v>
      </c>
      <c r="D965" s="449">
        <v>37537</v>
      </c>
      <c r="E965" s="450" t="s">
        <v>245</v>
      </c>
      <c r="F965" s="467">
        <v>0.6</v>
      </c>
      <c r="G965" s="467" t="s">
        <v>321</v>
      </c>
      <c r="H965" s="468">
        <v>1</v>
      </c>
      <c r="I965" s="450">
        <v>0.6</v>
      </c>
      <c r="J965" s="450" t="s">
        <v>322</v>
      </c>
      <c r="K965" s="469">
        <v>85</v>
      </c>
      <c r="L965" s="470">
        <v>1</v>
      </c>
      <c r="M965" s="509"/>
    </row>
    <row r="966" spans="1:13" ht="12.75">
      <c r="A966" s="466" t="s">
        <v>318</v>
      </c>
      <c r="B966" s="450" t="s">
        <v>359</v>
      </c>
      <c r="C966" s="458" t="s">
        <v>400</v>
      </c>
      <c r="D966" s="449">
        <v>37743</v>
      </c>
      <c r="E966" s="450" t="s">
        <v>245</v>
      </c>
      <c r="F966" s="467">
        <v>0.6</v>
      </c>
      <c r="G966" s="467" t="s">
        <v>321</v>
      </c>
      <c r="H966" s="468">
        <v>1</v>
      </c>
      <c r="I966" s="450">
        <v>0.6</v>
      </c>
      <c r="J966" s="450" t="s">
        <v>322</v>
      </c>
      <c r="K966" s="469">
        <v>85</v>
      </c>
      <c r="L966" s="470">
        <v>1</v>
      </c>
      <c r="M966" s="509"/>
    </row>
    <row r="967" spans="1:13" ht="12.75">
      <c r="A967" s="466" t="s">
        <v>318</v>
      </c>
      <c r="B967" s="450" t="s">
        <v>359</v>
      </c>
      <c r="C967" s="458" t="s">
        <v>400</v>
      </c>
      <c r="D967" s="449">
        <v>37897</v>
      </c>
      <c r="E967" s="450" t="s">
        <v>245</v>
      </c>
      <c r="F967" s="467">
        <v>0.6</v>
      </c>
      <c r="G967" s="467" t="s">
        <v>321</v>
      </c>
      <c r="H967" s="468">
        <v>1</v>
      </c>
      <c r="I967" s="450">
        <v>0.6</v>
      </c>
      <c r="J967" s="450" t="s">
        <v>322</v>
      </c>
      <c r="K967" s="469">
        <v>85</v>
      </c>
      <c r="L967" s="470">
        <v>1</v>
      </c>
      <c r="M967" s="509"/>
    </row>
    <row r="968" spans="1:13" ht="12.75">
      <c r="A968" s="466" t="s">
        <v>318</v>
      </c>
      <c r="B968" s="450" t="s">
        <v>359</v>
      </c>
      <c r="C968" s="458" t="s">
        <v>400</v>
      </c>
      <c r="D968" s="449">
        <v>38113</v>
      </c>
      <c r="E968" s="450" t="s">
        <v>245</v>
      </c>
      <c r="F968" s="467">
        <v>0.6</v>
      </c>
      <c r="G968" s="467" t="s">
        <v>321</v>
      </c>
      <c r="H968" s="468">
        <v>1</v>
      </c>
      <c r="I968" s="450">
        <v>0.6</v>
      </c>
      <c r="J968" s="450" t="s">
        <v>322</v>
      </c>
      <c r="K968" s="469">
        <v>85</v>
      </c>
      <c r="L968" s="470">
        <v>1</v>
      </c>
      <c r="M968" s="509"/>
    </row>
    <row r="969" spans="1:13" ht="12.75">
      <c r="A969" s="466" t="s">
        <v>318</v>
      </c>
      <c r="B969" s="450" t="s">
        <v>359</v>
      </c>
      <c r="C969" s="458" t="s">
        <v>400</v>
      </c>
      <c r="D969" s="449">
        <v>38273</v>
      </c>
      <c r="E969" s="450" t="s">
        <v>245</v>
      </c>
      <c r="F969" s="467">
        <v>0.9</v>
      </c>
      <c r="G969" s="467" t="s">
        <v>321</v>
      </c>
      <c r="H969" s="468">
        <v>1</v>
      </c>
      <c r="I969" s="450">
        <v>0.9</v>
      </c>
      <c r="J969" s="450" t="s">
        <v>322</v>
      </c>
      <c r="K969" s="469">
        <v>85</v>
      </c>
      <c r="L969" s="470">
        <v>1</v>
      </c>
      <c r="M969" s="509"/>
    </row>
    <row r="970" spans="1:13" ht="12.75">
      <c r="A970" s="466" t="s">
        <v>318</v>
      </c>
      <c r="B970" s="450" t="s">
        <v>359</v>
      </c>
      <c r="C970" s="458" t="s">
        <v>400</v>
      </c>
      <c r="D970" s="449">
        <v>38477</v>
      </c>
      <c r="E970" s="450" t="s">
        <v>245</v>
      </c>
      <c r="F970" s="467">
        <v>0.86</v>
      </c>
      <c r="G970" s="467" t="s">
        <v>321</v>
      </c>
      <c r="H970" s="468">
        <v>1</v>
      </c>
      <c r="I970" s="450">
        <v>0.86</v>
      </c>
      <c r="J970" s="450" t="s">
        <v>322</v>
      </c>
      <c r="K970" s="469">
        <v>85</v>
      </c>
      <c r="L970" s="470">
        <v>1</v>
      </c>
      <c r="M970" s="509"/>
    </row>
    <row r="971" spans="1:13" ht="12.75">
      <c r="A971" s="466" t="s">
        <v>318</v>
      </c>
      <c r="B971" s="450" t="s">
        <v>359</v>
      </c>
      <c r="C971" s="458" t="s">
        <v>400</v>
      </c>
      <c r="D971" s="449">
        <v>38638</v>
      </c>
      <c r="E971" s="450" t="s">
        <v>245</v>
      </c>
      <c r="F971" s="467">
        <v>0.9</v>
      </c>
      <c r="G971" s="467" t="s">
        <v>321</v>
      </c>
      <c r="H971" s="468">
        <v>1</v>
      </c>
      <c r="I971" s="450">
        <v>0.9</v>
      </c>
      <c r="J971" s="450" t="s">
        <v>322</v>
      </c>
      <c r="K971" s="469">
        <v>85</v>
      </c>
      <c r="L971" s="470">
        <v>1</v>
      </c>
      <c r="M971" s="509"/>
    </row>
    <row r="972" spans="1:13" ht="12.75">
      <c r="A972" s="466" t="s">
        <v>318</v>
      </c>
      <c r="B972" s="450" t="s">
        <v>371</v>
      </c>
      <c r="C972" s="458" t="s">
        <v>401</v>
      </c>
      <c r="D972" s="449">
        <v>37386</v>
      </c>
      <c r="E972" s="450" t="s">
        <v>245</v>
      </c>
      <c r="F972" s="467">
        <v>0.03</v>
      </c>
      <c r="G972" s="467" t="s">
        <v>321</v>
      </c>
      <c r="H972" s="468">
        <v>0.05</v>
      </c>
      <c r="I972" s="450">
        <v>0.03</v>
      </c>
      <c r="J972" s="450" t="s">
        <v>322</v>
      </c>
      <c r="K972" s="469">
        <v>86</v>
      </c>
      <c r="L972" s="470">
        <v>1</v>
      </c>
      <c r="M972" s="509"/>
    </row>
    <row r="973" spans="1:13" ht="12.75">
      <c r="A973" s="466" t="s">
        <v>318</v>
      </c>
      <c r="B973" s="450" t="s">
        <v>371</v>
      </c>
      <c r="C973" s="458" t="s">
        <v>401</v>
      </c>
      <c r="D973" s="449">
        <v>37537</v>
      </c>
      <c r="E973" s="450" t="s">
        <v>245</v>
      </c>
      <c r="F973" s="467">
        <v>0.03</v>
      </c>
      <c r="G973" s="467" t="s">
        <v>321</v>
      </c>
      <c r="H973" s="468">
        <v>0.05</v>
      </c>
      <c r="I973" s="450">
        <v>0.03</v>
      </c>
      <c r="J973" s="450" t="s">
        <v>322</v>
      </c>
      <c r="K973" s="469">
        <v>86</v>
      </c>
      <c r="L973" s="470">
        <v>1</v>
      </c>
      <c r="M973" s="509"/>
    </row>
    <row r="974" spans="1:13" ht="12.75">
      <c r="A974" s="466" t="s">
        <v>318</v>
      </c>
      <c r="B974" s="450" t="s">
        <v>371</v>
      </c>
      <c r="C974" s="458" t="s">
        <v>401</v>
      </c>
      <c r="D974" s="449">
        <v>37743</v>
      </c>
      <c r="E974" s="450" t="s">
        <v>245</v>
      </c>
      <c r="F974" s="467">
        <v>0.03</v>
      </c>
      <c r="G974" s="467" t="s">
        <v>321</v>
      </c>
      <c r="H974" s="468">
        <v>0.05</v>
      </c>
      <c r="I974" s="450">
        <v>0.03</v>
      </c>
      <c r="J974" s="450" t="s">
        <v>322</v>
      </c>
      <c r="K974" s="469">
        <v>86</v>
      </c>
      <c r="L974" s="470">
        <v>1</v>
      </c>
      <c r="M974" s="509"/>
    </row>
    <row r="975" spans="1:13" ht="12.75">
      <c r="A975" s="466" t="s">
        <v>318</v>
      </c>
      <c r="B975" s="450" t="s">
        <v>371</v>
      </c>
      <c r="C975" s="458" t="s">
        <v>401</v>
      </c>
      <c r="D975" s="449">
        <v>37897</v>
      </c>
      <c r="E975" s="450" t="s">
        <v>245</v>
      </c>
      <c r="F975" s="467">
        <v>0.03</v>
      </c>
      <c r="G975" s="467" t="s">
        <v>321</v>
      </c>
      <c r="H975" s="468">
        <v>0.05</v>
      </c>
      <c r="I975" s="450">
        <v>0.03</v>
      </c>
      <c r="J975" s="450" t="s">
        <v>322</v>
      </c>
      <c r="K975" s="469">
        <v>86</v>
      </c>
      <c r="L975" s="470">
        <v>1</v>
      </c>
      <c r="M975" s="509"/>
    </row>
    <row r="976" spans="1:13" ht="12.75">
      <c r="A976" s="466" t="s">
        <v>318</v>
      </c>
      <c r="B976" s="450" t="s">
        <v>371</v>
      </c>
      <c r="C976" s="458" t="s">
        <v>401</v>
      </c>
      <c r="D976" s="449">
        <v>38113</v>
      </c>
      <c r="E976" s="450" t="s">
        <v>245</v>
      </c>
      <c r="F976" s="467">
        <v>0.03</v>
      </c>
      <c r="G976" s="467" t="s">
        <v>321</v>
      </c>
      <c r="H976" s="468">
        <v>0.05</v>
      </c>
      <c r="I976" s="450">
        <v>0.03</v>
      </c>
      <c r="J976" s="450" t="s">
        <v>322</v>
      </c>
      <c r="K976" s="469">
        <v>86</v>
      </c>
      <c r="L976" s="470">
        <v>1</v>
      </c>
      <c r="M976" s="509"/>
    </row>
    <row r="977" spans="1:13" ht="12.75">
      <c r="A977" s="466" t="s">
        <v>318</v>
      </c>
      <c r="B977" s="450" t="s">
        <v>371</v>
      </c>
      <c r="C977" s="458" t="s">
        <v>401</v>
      </c>
      <c r="D977" s="449">
        <v>38273</v>
      </c>
      <c r="E977" s="450" t="s">
        <v>245</v>
      </c>
      <c r="F977" s="467">
        <v>0.03</v>
      </c>
      <c r="G977" s="467" t="s">
        <v>321</v>
      </c>
      <c r="H977" s="468">
        <v>0.05</v>
      </c>
      <c r="I977" s="450">
        <v>0.03</v>
      </c>
      <c r="J977" s="450" t="s">
        <v>322</v>
      </c>
      <c r="K977" s="469">
        <v>86</v>
      </c>
      <c r="L977" s="470">
        <v>1</v>
      </c>
      <c r="M977" s="509"/>
    </row>
    <row r="978" spans="1:13" ht="12.75">
      <c r="A978" s="466" t="s">
        <v>318</v>
      </c>
      <c r="B978" s="450" t="s">
        <v>371</v>
      </c>
      <c r="C978" s="458" t="s">
        <v>401</v>
      </c>
      <c r="D978" s="449">
        <v>38477</v>
      </c>
      <c r="E978" s="450" t="s">
        <v>245</v>
      </c>
      <c r="F978" s="467">
        <v>0.029</v>
      </c>
      <c r="G978" s="467" t="s">
        <v>321</v>
      </c>
      <c r="H978" s="468">
        <v>0.05</v>
      </c>
      <c r="I978" s="450">
        <v>0.029</v>
      </c>
      <c r="J978" s="450" t="s">
        <v>322</v>
      </c>
      <c r="K978" s="469">
        <v>86</v>
      </c>
      <c r="L978" s="470">
        <v>1</v>
      </c>
      <c r="M978" s="509"/>
    </row>
    <row r="979" spans="1:13" ht="12.75">
      <c r="A979" s="466" t="s">
        <v>318</v>
      </c>
      <c r="B979" s="450" t="s">
        <v>371</v>
      </c>
      <c r="C979" s="458" t="s">
        <v>401</v>
      </c>
      <c r="D979" s="449">
        <v>38638</v>
      </c>
      <c r="E979" s="450" t="s">
        <v>245</v>
      </c>
      <c r="F979" s="467">
        <v>0.03</v>
      </c>
      <c r="G979" s="467" t="s">
        <v>321</v>
      </c>
      <c r="H979" s="468">
        <v>0.05</v>
      </c>
      <c r="I979" s="450">
        <v>0.03</v>
      </c>
      <c r="J979" s="450" t="s">
        <v>322</v>
      </c>
      <c r="K979" s="469">
        <v>86</v>
      </c>
      <c r="L979" s="470">
        <v>1</v>
      </c>
      <c r="M979" s="509"/>
    </row>
    <row r="980" spans="1:13" ht="12.75">
      <c r="A980" s="466" t="s">
        <v>318</v>
      </c>
      <c r="B980" s="450" t="s">
        <v>373</v>
      </c>
      <c r="C980" s="458" t="s">
        <v>402</v>
      </c>
      <c r="D980" s="449">
        <v>36802</v>
      </c>
      <c r="E980" s="450" t="s">
        <v>245</v>
      </c>
      <c r="F980" s="467">
        <v>0.3</v>
      </c>
      <c r="G980" s="467" t="s">
        <v>321</v>
      </c>
      <c r="H980" s="468" t="s">
        <v>322</v>
      </c>
      <c r="I980" s="450" t="s">
        <v>322</v>
      </c>
      <c r="J980" s="450" t="s">
        <v>322</v>
      </c>
      <c r="K980" s="469">
        <v>87</v>
      </c>
      <c r="L980" s="470" t="s">
        <v>322</v>
      </c>
      <c r="M980" s="509"/>
    </row>
    <row r="981" spans="1:13" ht="12.75">
      <c r="A981" s="466" t="s">
        <v>318</v>
      </c>
      <c r="B981" s="450" t="s">
        <v>371</v>
      </c>
      <c r="C981" s="458" t="s">
        <v>402</v>
      </c>
      <c r="D981" s="449">
        <v>37386</v>
      </c>
      <c r="E981" s="450" t="s">
        <v>245</v>
      </c>
      <c r="F981" s="467">
        <v>0.02</v>
      </c>
      <c r="G981" s="467" t="s">
        <v>321</v>
      </c>
      <c r="H981" s="468">
        <v>0.1</v>
      </c>
      <c r="I981" s="450">
        <v>0.02</v>
      </c>
      <c r="J981" s="450" t="s">
        <v>322</v>
      </c>
      <c r="K981" s="469">
        <v>87</v>
      </c>
      <c r="L981" s="470">
        <v>1</v>
      </c>
      <c r="M981" s="509"/>
    </row>
    <row r="982" spans="1:13" ht="12.75">
      <c r="A982" s="466" t="s">
        <v>318</v>
      </c>
      <c r="B982" s="450" t="s">
        <v>371</v>
      </c>
      <c r="C982" s="458" t="s">
        <v>402</v>
      </c>
      <c r="D982" s="449">
        <v>37537</v>
      </c>
      <c r="E982" s="450" t="s">
        <v>245</v>
      </c>
      <c r="F982" s="467">
        <v>0.02</v>
      </c>
      <c r="G982" s="467" t="s">
        <v>321</v>
      </c>
      <c r="H982" s="468">
        <v>0.1</v>
      </c>
      <c r="I982" s="450">
        <v>0.02</v>
      </c>
      <c r="J982" s="450" t="s">
        <v>322</v>
      </c>
      <c r="K982" s="469">
        <v>87</v>
      </c>
      <c r="L982" s="470">
        <v>1</v>
      </c>
      <c r="M982" s="509"/>
    </row>
    <row r="983" spans="1:13" ht="12.75">
      <c r="A983" s="466" t="s">
        <v>318</v>
      </c>
      <c r="B983" s="450" t="s">
        <v>371</v>
      </c>
      <c r="C983" s="458" t="s">
        <v>402</v>
      </c>
      <c r="D983" s="449">
        <v>37743</v>
      </c>
      <c r="E983" s="450" t="s">
        <v>245</v>
      </c>
      <c r="F983" s="467">
        <v>0.02</v>
      </c>
      <c r="G983" s="467" t="s">
        <v>321</v>
      </c>
      <c r="H983" s="468">
        <v>0.1</v>
      </c>
      <c r="I983" s="450">
        <v>0.02</v>
      </c>
      <c r="J983" s="450" t="s">
        <v>322</v>
      </c>
      <c r="K983" s="469">
        <v>87</v>
      </c>
      <c r="L983" s="470">
        <v>1</v>
      </c>
      <c r="M983" s="509"/>
    </row>
    <row r="984" spans="1:13" ht="12.75">
      <c r="A984" s="466" t="s">
        <v>318</v>
      </c>
      <c r="B984" s="450" t="s">
        <v>371</v>
      </c>
      <c r="C984" s="458" t="s">
        <v>402</v>
      </c>
      <c r="D984" s="449">
        <v>37897</v>
      </c>
      <c r="E984" s="450" t="s">
        <v>245</v>
      </c>
      <c r="F984" s="467">
        <v>0.02</v>
      </c>
      <c r="G984" s="467" t="s">
        <v>321</v>
      </c>
      <c r="H984" s="468">
        <v>0.1</v>
      </c>
      <c r="I984" s="450">
        <v>0.02</v>
      </c>
      <c r="J984" s="450" t="s">
        <v>322</v>
      </c>
      <c r="K984" s="469">
        <v>87</v>
      </c>
      <c r="L984" s="470">
        <v>1</v>
      </c>
      <c r="M984" s="509"/>
    </row>
    <row r="985" spans="1:13" ht="12.75">
      <c r="A985" s="466" t="s">
        <v>318</v>
      </c>
      <c r="B985" s="450" t="s">
        <v>371</v>
      </c>
      <c r="C985" s="458" t="s">
        <v>402</v>
      </c>
      <c r="D985" s="449">
        <v>38113</v>
      </c>
      <c r="E985" s="450" t="s">
        <v>245</v>
      </c>
      <c r="F985" s="467">
        <v>0.02</v>
      </c>
      <c r="G985" s="467" t="s">
        <v>321</v>
      </c>
      <c r="H985" s="468">
        <v>0.1</v>
      </c>
      <c r="I985" s="450">
        <v>0.02</v>
      </c>
      <c r="J985" s="450" t="s">
        <v>322</v>
      </c>
      <c r="K985" s="469">
        <v>87</v>
      </c>
      <c r="L985" s="470">
        <v>1</v>
      </c>
      <c r="M985" s="509"/>
    </row>
    <row r="986" spans="1:13" ht="12.75">
      <c r="A986" s="466" t="s">
        <v>318</v>
      </c>
      <c r="B986" s="450" t="s">
        <v>371</v>
      </c>
      <c r="C986" s="458" t="s">
        <v>402</v>
      </c>
      <c r="D986" s="449">
        <v>38273</v>
      </c>
      <c r="E986" s="450" t="s">
        <v>245</v>
      </c>
      <c r="F986" s="467">
        <v>0.03</v>
      </c>
      <c r="G986" s="467" t="s">
        <v>321</v>
      </c>
      <c r="H986" s="468">
        <v>0.1</v>
      </c>
      <c r="I986" s="450">
        <v>0.03</v>
      </c>
      <c r="J986" s="450" t="s">
        <v>322</v>
      </c>
      <c r="K986" s="469">
        <v>87</v>
      </c>
      <c r="L986" s="470">
        <v>1</v>
      </c>
      <c r="M986" s="509"/>
    </row>
    <row r="987" spans="1:13" ht="12.75">
      <c r="A987" s="466" t="s">
        <v>318</v>
      </c>
      <c r="B987" s="450" t="s">
        <v>371</v>
      </c>
      <c r="C987" s="458" t="s">
        <v>402</v>
      </c>
      <c r="D987" s="449">
        <v>38477</v>
      </c>
      <c r="E987" s="450" t="s">
        <v>245</v>
      </c>
      <c r="F987" s="467">
        <v>0.029</v>
      </c>
      <c r="G987" s="467" t="s">
        <v>321</v>
      </c>
      <c r="H987" s="468">
        <v>0.1</v>
      </c>
      <c r="I987" s="450">
        <v>0.029</v>
      </c>
      <c r="J987" s="450" t="s">
        <v>322</v>
      </c>
      <c r="K987" s="469">
        <v>87</v>
      </c>
      <c r="L987" s="470">
        <v>1</v>
      </c>
      <c r="M987" s="509"/>
    </row>
    <row r="988" spans="1:13" ht="12.75">
      <c r="A988" s="466" t="s">
        <v>318</v>
      </c>
      <c r="B988" s="450" t="s">
        <v>371</v>
      </c>
      <c r="C988" s="458" t="s">
        <v>402</v>
      </c>
      <c r="D988" s="449">
        <v>38638</v>
      </c>
      <c r="E988" s="450" t="s">
        <v>245</v>
      </c>
      <c r="F988" s="467">
        <v>0.03</v>
      </c>
      <c r="G988" s="467" t="s">
        <v>321</v>
      </c>
      <c r="H988" s="468">
        <v>0.1</v>
      </c>
      <c r="I988" s="450">
        <v>0.03</v>
      </c>
      <c r="J988" s="450" t="s">
        <v>322</v>
      </c>
      <c r="K988" s="469">
        <v>87</v>
      </c>
      <c r="L988" s="470">
        <v>1</v>
      </c>
      <c r="M988" s="509"/>
    </row>
    <row r="989" spans="1:13" ht="12.75">
      <c r="A989" s="466" t="s">
        <v>318</v>
      </c>
      <c r="B989" s="450" t="s">
        <v>359</v>
      </c>
      <c r="C989" s="458" t="s">
        <v>403</v>
      </c>
      <c r="D989" s="449">
        <v>37173</v>
      </c>
      <c r="E989" s="450" t="s">
        <v>245</v>
      </c>
      <c r="F989" s="467">
        <v>0.4</v>
      </c>
      <c r="G989" s="467" t="s">
        <v>321</v>
      </c>
      <c r="H989" s="468">
        <v>1</v>
      </c>
      <c r="I989" s="450">
        <v>0.4</v>
      </c>
      <c r="J989" s="450" t="s">
        <v>322</v>
      </c>
      <c r="K989" s="469">
        <v>88</v>
      </c>
      <c r="L989" s="470">
        <v>1</v>
      </c>
      <c r="M989" s="509"/>
    </row>
    <row r="990" spans="1:13" ht="12.75">
      <c r="A990" s="466" t="s">
        <v>318</v>
      </c>
      <c r="B990" s="450" t="s">
        <v>359</v>
      </c>
      <c r="C990" s="458" t="s">
        <v>403</v>
      </c>
      <c r="D990" s="449">
        <v>37386</v>
      </c>
      <c r="E990" s="450" t="s">
        <v>245</v>
      </c>
      <c r="F990" s="467">
        <v>0.4</v>
      </c>
      <c r="G990" s="467" t="s">
        <v>321</v>
      </c>
      <c r="H990" s="468">
        <v>1</v>
      </c>
      <c r="I990" s="450">
        <v>0.4</v>
      </c>
      <c r="J990" s="450" t="s">
        <v>322</v>
      </c>
      <c r="K990" s="469">
        <v>88</v>
      </c>
      <c r="L990" s="470">
        <v>1</v>
      </c>
      <c r="M990" s="509"/>
    </row>
    <row r="991" spans="1:13" ht="12.75">
      <c r="A991" s="466" t="s">
        <v>318</v>
      </c>
      <c r="B991" s="450" t="s">
        <v>359</v>
      </c>
      <c r="C991" s="458" t="s">
        <v>403</v>
      </c>
      <c r="D991" s="449">
        <v>37537</v>
      </c>
      <c r="E991" s="450" t="s">
        <v>245</v>
      </c>
      <c r="F991" s="467">
        <v>0.4</v>
      </c>
      <c r="G991" s="467" t="s">
        <v>321</v>
      </c>
      <c r="H991" s="468">
        <v>1</v>
      </c>
      <c r="I991" s="450">
        <v>0.4</v>
      </c>
      <c r="J991" s="450" t="s">
        <v>322</v>
      </c>
      <c r="K991" s="469">
        <v>88</v>
      </c>
      <c r="L991" s="470">
        <v>1</v>
      </c>
      <c r="M991" s="509"/>
    </row>
    <row r="992" spans="1:13" ht="12.75">
      <c r="A992" s="466" t="s">
        <v>318</v>
      </c>
      <c r="B992" s="450" t="s">
        <v>359</v>
      </c>
      <c r="C992" s="458" t="s">
        <v>403</v>
      </c>
      <c r="D992" s="449">
        <v>37743</v>
      </c>
      <c r="E992" s="450" t="s">
        <v>245</v>
      </c>
      <c r="F992" s="467">
        <v>0.4</v>
      </c>
      <c r="G992" s="467" t="s">
        <v>321</v>
      </c>
      <c r="H992" s="468">
        <v>1</v>
      </c>
      <c r="I992" s="450">
        <v>0.4</v>
      </c>
      <c r="J992" s="450" t="s">
        <v>322</v>
      </c>
      <c r="K992" s="469">
        <v>88</v>
      </c>
      <c r="L992" s="470">
        <v>1</v>
      </c>
      <c r="M992" s="509"/>
    </row>
    <row r="993" spans="1:13" ht="12.75">
      <c r="A993" s="466" t="s">
        <v>318</v>
      </c>
      <c r="B993" s="450" t="s">
        <v>359</v>
      </c>
      <c r="C993" s="458" t="s">
        <v>403</v>
      </c>
      <c r="D993" s="449">
        <v>37897</v>
      </c>
      <c r="E993" s="450" t="s">
        <v>245</v>
      </c>
      <c r="F993" s="467">
        <v>0.4</v>
      </c>
      <c r="G993" s="467" t="s">
        <v>321</v>
      </c>
      <c r="H993" s="468">
        <v>1</v>
      </c>
      <c r="I993" s="450">
        <v>0.4</v>
      </c>
      <c r="J993" s="450" t="s">
        <v>322</v>
      </c>
      <c r="K993" s="469">
        <v>88</v>
      </c>
      <c r="L993" s="470">
        <v>1</v>
      </c>
      <c r="M993" s="509"/>
    </row>
    <row r="994" spans="1:13" ht="12.75">
      <c r="A994" s="466" t="s">
        <v>318</v>
      </c>
      <c r="B994" s="450" t="s">
        <v>359</v>
      </c>
      <c r="C994" s="458" t="s">
        <v>403</v>
      </c>
      <c r="D994" s="449">
        <v>38113</v>
      </c>
      <c r="E994" s="450" t="s">
        <v>245</v>
      </c>
      <c r="F994" s="467">
        <v>0.4</v>
      </c>
      <c r="G994" s="467" t="s">
        <v>321</v>
      </c>
      <c r="H994" s="468">
        <v>1</v>
      </c>
      <c r="I994" s="450">
        <v>0.4</v>
      </c>
      <c r="J994" s="450" t="s">
        <v>322</v>
      </c>
      <c r="K994" s="469">
        <v>88</v>
      </c>
      <c r="L994" s="470">
        <v>1</v>
      </c>
      <c r="M994" s="509"/>
    </row>
    <row r="995" spans="1:13" ht="12.75">
      <c r="A995" s="466" t="s">
        <v>318</v>
      </c>
      <c r="B995" s="450" t="s">
        <v>359</v>
      </c>
      <c r="C995" s="458" t="s">
        <v>403</v>
      </c>
      <c r="D995" s="449">
        <v>38273</v>
      </c>
      <c r="E995" s="450" t="s">
        <v>245</v>
      </c>
      <c r="F995" s="467">
        <v>0.8</v>
      </c>
      <c r="G995" s="467" t="s">
        <v>321</v>
      </c>
      <c r="H995" s="468">
        <v>1</v>
      </c>
      <c r="I995" s="450">
        <v>0.8</v>
      </c>
      <c r="J995" s="450" t="s">
        <v>322</v>
      </c>
      <c r="K995" s="469">
        <v>88</v>
      </c>
      <c r="L995" s="470">
        <v>1</v>
      </c>
      <c r="M995" s="509"/>
    </row>
    <row r="996" spans="1:13" ht="12.75">
      <c r="A996" s="466" t="s">
        <v>318</v>
      </c>
      <c r="B996" s="450" t="s">
        <v>359</v>
      </c>
      <c r="C996" s="458" t="s">
        <v>403</v>
      </c>
      <c r="D996" s="449">
        <v>38477</v>
      </c>
      <c r="E996" s="450" t="s">
        <v>245</v>
      </c>
      <c r="F996" s="467">
        <v>1</v>
      </c>
      <c r="G996" s="467" t="s">
        <v>321</v>
      </c>
      <c r="H996" s="468">
        <v>1</v>
      </c>
      <c r="I996" s="450">
        <v>0.76</v>
      </c>
      <c r="J996" s="450" t="s">
        <v>322</v>
      </c>
      <c r="K996" s="469">
        <v>88</v>
      </c>
      <c r="L996" s="470">
        <v>1</v>
      </c>
      <c r="M996" s="509"/>
    </row>
    <row r="997" spans="1:13" ht="12.75">
      <c r="A997" s="466" t="s">
        <v>318</v>
      </c>
      <c r="B997" s="450" t="s">
        <v>359</v>
      </c>
      <c r="C997" s="458" t="s">
        <v>403</v>
      </c>
      <c r="D997" s="449">
        <v>38638</v>
      </c>
      <c r="E997" s="450" t="s">
        <v>245</v>
      </c>
      <c r="F997" s="467">
        <v>0.8</v>
      </c>
      <c r="G997" s="467" t="s">
        <v>321</v>
      </c>
      <c r="H997" s="468">
        <v>1</v>
      </c>
      <c r="I997" s="450">
        <v>0.8</v>
      </c>
      <c r="J997" s="450" t="s">
        <v>322</v>
      </c>
      <c r="K997" s="469">
        <v>88</v>
      </c>
      <c r="L997" s="470">
        <v>1</v>
      </c>
      <c r="M997" s="509"/>
    </row>
    <row r="998" spans="1:13" ht="12.75">
      <c r="A998" s="466" t="s">
        <v>318</v>
      </c>
      <c r="B998" s="450" t="s">
        <v>359</v>
      </c>
      <c r="C998" s="458" t="s">
        <v>404</v>
      </c>
      <c r="D998" s="449">
        <v>37173</v>
      </c>
      <c r="E998" s="450" t="s">
        <v>245</v>
      </c>
      <c r="F998" s="467">
        <v>0.2</v>
      </c>
      <c r="G998" s="467" t="s">
        <v>321</v>
      </c>
      <c r="H998" s="468">
        <v>1</v>
      </c>
      <c r="I998" s="450">
        <v>0.2</v>
      </c>
      <c r="J998" s="450" t="s">
        <v>322</v>
      </c>
      <c r="K998" s="469">
        <v>89</v>
      </c>
      <c r="L998" s="470">
        <v>1</v>
      </c>
      <c r="M998" s="509"/>
    </row>
    <row r="999" spans="1:13" ht="12.75">
      <c r="A999" s="466" t="s">
        <v>318</v>
      </c>
      <c r="B999" s="450" t="s">
        <v>359</v>
      </c>
      <c r="C999" s="458" t="s">
        <v>404</v>
      </c>
      <c r="D999" s="449">
        <v>37386</v>
      </c>
      <c r="E999" s="450" t="s">
        <v>245</v>
      </c>
      <c r="F999" s="467">
        <v>0.2</v>
      </c>
      <c r="G999" s="467" t="s">
        <v>321</v>
      </c>
      <c r="H999" s="468">
        <v>1</v>
      </c>
      <c r="I999" s="450">
        <v>0.2</v>
      </c>
      <c r="J999" s="450" t="s">
        <v>322</v>
      </c>
      <c r="K999" s="469">
        <v>89</v>
      </c>
      <c r="L999" s="470">
        <v>1</v>
      </c>
      <c r="M999" s="509"/>
    </row>
    <row r="1000" spans="1:13" ht="12.75">
      <c r="A1000" s="466" t="s">
        <v>318</v>
      </c>
      <c r="B1000" s="450" t="s">
        <v>359</v>
      </c>
      <c r="C1000" s="458" t="s">
        <v>404</v>
      </c>
      <c r="D1000" s="449">
        <v>37537</v>
      </c>
      <c r="E1000" s="450" t="s">
        <v>245</v>
      </c>
      <c r="F1000" s="467">
        <v>0.7</v>
      </c>
      <c r="G1000" s="467" t="s">
        <v>321</v>
      </c>
      <c r="H1000" s="468">
        <v>1</v>
      </c>
      <c r="I1000" s="450">
        <v>0.7</v>
      </c>
      <c r="J1000" s="450" t="s">
        <v>322</v>
      </c>
      <c r="K1000" s="469">
        <v>89</v>
      </c>
      <c r="L1000" s="470">
        <v>1</v>
      </c>
      <c r="M1000" s="509"/>
    </row>
    <row r="1001" spans="1:13" ht="12.75">
      <c r="A1001" s="466" t="s">
        <v>318</v>
      </c>
      <c r="B1001" s="450" t="s">
        <v>359</v>
      </c>
      <c r="C1001" s="458" t="s">
        <v>404</v>
      </c>
      <c r="D1001" s="449">
        <v>37743</v>
      </c>
      <c r="E1001" s="450" t="s">
        <v>245</v>
      </c>
      <c r="F1001" s="467">
        <v>0.7</v>
      </c>
      <c r="G1001" s="467" t="s">
        <v>321</v>
      </c>
      <c r="H1001" s="468">
        <v>1</v>
      </c>
      <c r="I1001" s="450">
        <v>0.7</v>
      </c>
      <c r="J1001" s="450" t="s">
        <v>322</v>
      </c>
      <c r="K1001" s="469">
        <v>89</v>
      </c>
      <c r="L1001" s="470">
        <v>1</v>
      </c>
      <c r="M1001" s="509"/>
    </row>
    <row r="1002" spans="1:13" ht="12.75">
      <c r="A1002" s="466" t="s">
        <v>318</v>
      </c>
      <c r="B1002" s="450" t="s">
        <v>359</v>
      </c>
      <c r="C1002" s="458" t="s">
        <v>404</v>
      </c>
      <c r="D1002" s="449">
        <v>37897</v>
      </c>
      <c r="E1002" s="450" t="s">
        <v>245</v>
      </c>
      <c r="F1002" s="467">
        <v>0.7</v>
      </c>
      <c r="G1002" s="467" t="s">
        <v>321</v>
      </c>
      <c r="H1002" s="468">
        <v>1</v>
      </c>
      <c r="I1002" s="450">
        <v>0.7</v>
      </c>
      <c r="J1002" s="450" t="s">
        <v>322</v>
      </c>
      <c r="K1002" s="469">
        <v>89</v>
      </c>
      <c r="L1002" s="470">
        <v>1</v>
      </c>
      <c r="M1002" s="509"/>
    </row>
    <row r="1003" spans="1:13" ht="12.75">
      <c r="A1003" s="466" t="s">
        <v>318</v>
      </c>
      <c r="B1003" s="450" t="s">
        <v>359</v>
      </c>
      <c r="C1003" s="458" t="s">
        <v>404</v>
      </c>
      <c r="D1003" s="449">
        <v>38113</v>
      </c>
      <c r="E1003" s="450" t="s">
        <v>245</v>
      </c>
      <c r="F1003" s="467">
        <v>0.7</v>
      </c>
      <c r="G1003" s="467" t="s">
        <v>321</v>
      </c>
      <c r="H1003" s="468">
        <v>1</v>
      </c>
      <c r="I1003" s="450">
        <v>0.7</v>
      </c>
      <c r="J1003" s="450" t="s">
        <v>322</v>
      </c>
      <c r="K1003" s="469">
        <v>89</v>
      </c>
      <c r="L1003" s="470">
        <v>1</v>
      </c>
      <c r="M1003" s="509"/>
    </row>
    <row r="1004" spans="1:13" ht="12.75">
      <c r="A1004" s="466" t="s">
        <v>318</v>
      </c>
      <c r="B1004" s="450" t="s">
        <v>359</v>
      </c>
      <c r="C1004" s="458" t="s">
        <v>404</v>
      </c>
      <c r="D1004" s="449">
        <v>38273</v>
      </c>
      <c r="E1004" s="450" t="s">
        <v>245</v>
      </c>
      <c r="F1004" s="467">
        <v>0.8</v>
      </c>
      <c r="G1004" s="467" t="s">
        <v>321</v>
      </c>
      <c r="H1004" s="468">
        <v>1</v>
      </c>
      <c r="I1004" s="450">
        <v>0.8</v>
      </c>
      <c r="J1004" s="450" t="s">
        <v>322</v>
      </c>
      <c r="K1004" s="469">
        <v>89</v>
      </c>
      <c r="L1004" s="470">
        <v>1</v>
      </c>
      <c r="M1004" s="509"/>
    </row>
    <row r="1005" spans="1:13" ht="12.75">
      <c r="A1005" s="466" t="s">
        <v>318</v>
      </c>
      <c r="B1005" s="450" t="s">
        <v>359</v>
      </c>
      <c r="C1005" s="458" t="s">
        <v>404</v>
      </c>
      <c r="D1005" s="449">
        <v>38477</v>
      </c>
      <c r="E1005" s="450" t="s">
        <v>245</v>
      </c>
      <c r="F1005" s="467">
        <v>0.76</v>
      </c>
      <c r="G1005" s="467" t="s">
        <v>321</v>
      </c>
      <c r="H1005" s="468">
        <v>1</v>
      </c>
      <c r="I1005" s="450">
        <v>0.76</v>
      </c>
      <c r="J1005" s="450" t="s">
        <v>322</v>
      </c>
      <c r="K1005" s="469">
        <v>89</v>
      </c>
      <c r="L1005" s="470">
        <v>1</v>
      </c>
      <c r="M1005" s="509"/>
    </row>
    <row r="1006" spans="1:13" ht="12.75">
      <c r="A1006" s="466" t="s">
        <v>318</v>
      </c>
      <c r="B1006" s="450" t="s">
        <v>359</v>
      </c>
      <c r="C1006" s="458" t="s">
        <v>404</v>
      </c>
      <c r="D1006" s="449">
        <v>38638</v>
      </c>
      <c r="E1006" s="450" t="s">
        <v>245</v>
      </c>
      <c r="F1006" s="467">
        <v>0.8</v>
      </c>
      <c r="G1006" s="467" t="s">
        <v>321</v>
      </c>
      <c r="H1006" s="468">
        <v>1</v>
      </c>
      <c r="I1006" s="450">
        <v>0.8</v>
      </c>
      <c r="J1006" s="450" t="s">
        <v>322</v>
      </c>
      <c r="K1006" s="469">
        <v>89</v>
      </c>
      <c r="L1006" s="470">
        <v>1</v>
      </c>
      <c r="M1006" s="509"/>
    </row>
    <row r="1007" spans="1:13" ht="12.75">
      <c r="A1007" s="466" t="s">
        <v>318</v>
      </c>
      <c r="B1007" s="450" t="s">
        <v>359</v>
      </c>
      <c r="C1007" s="458" t="s">
        <v>405</v>
      </c>
      <c r="D1007" s="449">
        <v>37173</v>
      </c>
      <c r="E1007" s="450" t="s">
        <v>245</v>
      </c>
      <c r="F1007" s="467">
        <v>0.1</v>
      </c>
      <c r="G1007" s="467" t="s">
        <v>321</v>
      </c>
      <c r="H1007" s="468">
        <v>5</v>
      </c>
      <c r="I1007" s="450">
        <v>0.1</v>
      </c>
      <c r="J1007" s="450" t="s">
        <v>322</v>
      </c>
      <c r="K1007" s="469">
        <v>90</v>
      </c>
      <c r="L1007" s="470">
        <v>1</v>
      </c>
      <c r="M1007" s="509"/>
    </row>
    <row r="1008" spans="1:13" ht="12.75">
      <c r="A1008" s="466" t="s">
        <v>318</v>
      </c>
      <c r="B1008" s="450" t="s">
        <v>359</v>
      </c>
      <c r="C1008" s="458" t="s">
        <v>405</v>
      </c>
      <c r="D1008" s="449">
        <v>37386</v>
      </c>
      <c r="E1008" s="450" t="s">
        <v>245</v>
      </c>
      <c r="F1008" s="467">
        <v>0.1</v>
      </c>
      <c r="G1008" s="467" t="s">
        <v>321</v>
      </c>
      <c r="H1008" s="468">
        <v>5</v>
      </c>
      <c r="I1008" s="450">
        <v>0.1</v>
      </c>
      <c r="J1008" s="450" t="s">
        <v>322</v>
      </c>
      <c r="K1008" s="469">
        <v>90</v>
      </c>
      <c r="L1008" s="470">
        <v>1</v>
      </c>
      <c r="M1008" s="509"/>
    </row>
    <row r="1009" spans="1:13" ht="12.75">
      <c r="A1009" s="466" t="s">
        <v>318</v>
      </c>
      <c r="B1009" s="450" t="s">
        <v>359</v>
      </c>
      <c r="C1009" s="458" t="s">
        <v>405</v>
      </c>
      <c r="D1009" s="449">
        <v>37537</v>
      </c>
      <c r="E1009" s="450" t="s">
        <v>245</v>
      </c>
      <c r="F1009" s="467">
        <v>0.4</v>
      </c>
      <c r="G1009" s="467" t="s">
        <v>321</v>
      </c>
      <c r="H1009" s="468">
        <v>5</v>
      </c>
      <c r="I1009" s="450">
        <v>0.4</v>
      </c>
      <c r="J1009" s="450" t="s">
        <v>322</v>
      </c>
      <c r="K1009" s="469">
        <v>90</v>
      </c>
      <c r="L1009" s="470">
        <v>1</v>
      </c>
      <c r="M1009" s="509"/>
    </row>
    <row r="1010" spans="1:13" ht="12.75">
      <c r="A1010" s="466" t="s">
        <v>318</v>
      </c>
      <c r="B1010" s="450" t="s">
        <v>359</v>
      </c>
      <c r="C1010" s="458" t="s">
        <v>405</v>
      </c>
      <c r="D1010" s="449">
        <v>37743</v>
      </c>
      <c r="E1010" s="450" t="s">
        <v>245</v>
      </c>
      <c r="F1010" s="467">
        <v>0.4</v>
      </c>
      <c r="G1010" s="467" t="s">
        <v>321</v>
      </c>
      <c r="H1010" s="468">
        <v>5</v>
      </c>
      <c r="I1010" s="450">
        <v>0.4</v>
      </c>
      <c r="J1010" s="450" t="s">
        <v>322</v>
      </c>
      <c r="K1010" s="469">
        <v>90</v>
      </c>
      <c r="L1010" s="470">
        <v>1</v>
      </c>
      <c r="M1010" s="509"/>
    </row>
    <row r="1011" spans="1:13" ht="12.75">
      <c r="A1011" s="466" t="s">
        <v>318</v>
      </c>
      <c r="B1011" s="450" t="s">
        <v>359</v>
      </c>
      <c r="C1011" s="458" t="s">
        <v>405</v>
      </c>
      <c r="D1011" s="449">
        <v>37897</v>
      </c>
      <c r="E1011" s="450" t="s">
        <v>245</v>
      </c>
      <c r="F1011" s="467">
        <v>0.4</v>
      </c>
      <c r="G1011" s="467" t="s">
        <v>321</v>
      </c>
      <c r="H1011" s="468">
        <v>5</v>
      </c>
      <c r="I1011" s="450">
        <v>0.4</v>
      </c>
      <c r="J1011" s="450" t="s">
        <v>322</v>
      </c>
      <c r="K1011" s="469">
        <v>90</v>
      </c>
      <c r="L1011" s="470">
        <v>1</v>
      </c>
      <c r="M1011" s="509"/>
    </row>
    <row r="1012" spans="1:13" ht="12.75">
      <c r="A1012" s="466" t="s">
        <v>318</v>
      </c>
      <c r="B1012" s="450" t="s">
        <v>359</v>
      </c>
      <c r="C1012" s="458" t="s">
        <v>405</v>
      </c>
      <c r="D1012" s="449">
        <v>38113</v>
      </c>
      <c r="E1012" s="450" t="s">
        <v>245</v>
      </c>
      <c r="F1012" s="467">
        <v>0.4</v>
      </c>
      <c r="G1012" s="467" t="s">
        <v>321</v>
      </c>
      <c r="H1012" s="468">
        <v>5</v>
      </c>
      <c r="I1012" s="450">
        <v>0.4</v>
      </c>
      <c r="J1012" s="450" t="s">
        <v>322</v>
      </c>
      <c r="K1012" s="469">
        <v>90</v>
      </c>
      <c r="L1012" s="470">
        <v>1</v>
      </c>
      <c r="M1012" s="509"/>
    </row>
    <row r="1013" spans="1:13" ht="12.75">
      <c r="A1013" s="466" t="s">
        <v>318</v>
      </c>
      <c r="B1013" s="450" t="s">
        <v>359</v>
      </c>
      <c r="C1013" s="458" t="s">
        <v>405</v>
      </c>
      <c r="D1013" s="449">
        <v>38273</v>
      </c>
      <c r="E1013" s="450" t="s">
        <v>245</v>
      </c>
      <c r="F1013" s="467">
        <v>0.8</v>
      </c>
      <c r="G1013" s="467" t="s">
        <v>321</v>
      </c>
      <c r="H1013" s="468">
        <v>1</v>
      </c>
      <c r="I1013" s="450">
        <v>0.8</v>
      </c>
      <c r="J1013" s="450" t="s">
        <v>322</v>
      </c>
      <c r="K1013" s="469">
        <v>90</v>
      </c>
      <c r="L1013" s="470">
        <v>1</v>
      </c>
      <c r="M1013" s="509"/>
    </row>
    <row r="1014" spans="1:13" ht="12.75">
      <c r="A1014" s="466" t="s">
        <v>318</v>
      </c>
      <c r="B1014" s="450" t="s">
        <v>359</v>
      </c>
      <c r="C1014" s="458" t="s">
        <v>405</v>
      </c>
      <c r="D1014" s="449">
        <v>38477</v>
      </c>
      <c r="E1014" s="450" t="s">
        <v>245</v>
      </c>
      <c r="F1014" s="467">
        <v>0.76</v>
      </c>
      <c r="G1014" s="467" t="s">
        <v>321</v>
      </c>
      <c r="H1014" s="468">
        <v>1</v>
      </c>
      <c r="I1014" s="450">
        <v>0.76</v>
      </c>
      <c r="J1014" s="450" t="s">
        <v>322</v>
      </c>
      <c r="K1014" s="469">
        <v>90</v>
      </c>
      <c r="L1014" s="470">
        <v>1</v>
      </c>
      <c r="M1014" s="509"/>
    </row>
    <row r="1015" spans="1:13" ht="12.75">
      <c r="A1015" s="466" t="s">
        <v>318</v>
      </c>
      <c r="B1015" s="450" t="s">
        <v>359</v>
      </c>
      <c r="C1015" s="458" t="s">
        <v>405</v>
      </c>
      <c r="D1015" s="449">
        <v>38638</v>
      </c>
      <c r="E1015" s="450" t="s">
        <v>245</v>
      </c>
      <c r="F1015" s="467">
        <v>0.8</v>
      </c>
      <c r="G1015" s="467" t="s">
        <v>321</v>
      </c>
      <c r="H1015" s="468">
        <v>1</v>
      </c>
      <c r="I1015" s="450">
        <v>0.8</v>
      </c>
      <c r="J1015" s="450" t="s">
        <v>322</v>
      </c>
      <c r="K1015" s="469">
        <v>90</v>
      </c>
      <c r="L1015" s="470">
        <v>1</v>
      </c>
      <c r="M1015" s="509"/>
    </row>
    <row r="1016" spans="1:13" ht="12.75">
      <c r="A1016" s="466" t="s">
        <v>318</v>
      </c>
      <c r="B1016" s="450" t="s">
        <v>359</v>
      </c>
      <c r="C1016" s="458" t="s">
        <v>406</v>
      </c>
      <c r="D1016" s="449">
        <v>37173</v>
      </c>
      <c r="E1016" s="450" t="s">
        <v>245</v>
      </c>
      <c r="F1016" s="467">
        <v>0.2</v>
      </c>
      <c r="G1016" s="467" t="s">
        <v>321</v>
      </c>
      <c r="H1016" s="468">
        <v>1</v>
      </c>
      <c r="I1016" s="450">
        <v>0.2</v>
      </c>
      <c r="J1016" s="450" t="s">
        <v>322</v>
      </c>
      <c r="K1016" s="469">
        <v>91</v>
      </c>
      <c r="L1016" s="470">
        <v>1</v>
      </c>
      <c r="M1016" s="509"/>
    </row>
    <row r="1017" spans="1:13" ht="12.75">
      <c r="A1017" s="466" t="s">
        <v>318</v>
      </c>
      <c r="B1017" s="450" t="s">
        <v>359</v>
      </c>
      <c r="C1017" s="458" t="s">
        <v>406</v>
      </c>
      <c r="D1017" s="449">
        <v>37386</v>
      </c>
      <c r="E1017" s="450" t="s">
        <v>245</v>
      </c>
      <c r="F1017" s="467">
        <v>0.2</v>
      </c>
      <c r="G1017" s="467" t="s">
        <v>321</v>
      </c>
      <c r="H1017" s="468">
        <v>1</v>
      </c>
      <c r="I1017" s="450">
        <v>0.2</v>
      </c>
      <c r="J1017" s="450" t="s">
        <v>322</v>
      </c>
      <c r="K1017" s="469">
        <v>91</v>
      </c>
      <c r="L1017" s="470">
        <v>1</v>
      </c>
      <c r="M1017" s="509"/>
    </row>
    <row r="1018" spans="1:13" ht="12.75">
      <c r="A1018" s="466" t="s">
        <v>318</v>
      </c>
      <c r="B1018" s="450" t="s">
        <v>359</v>
      </c>
      <c r="C1018" s="458" t="s">
        <v>406</v>
      </c>
      <c r="D1018" s="449">
        <v>37537</v>
      </c>
      <c r="E1018" s="450" t="s">
        <v>245</v>
      </c>
      <c r="F1018" s="467">
        <v>0.6</v>
      </c>
      <c r="G1018" s="467" t="s">
        <v>321</v>
      </c>
      <c r="H1018" s="468">
        <v>1</v>
      </c>
      <c r="I1018" s="450">
        <v>0.6</v>
      </c>
      <c r="J1018" s="450" t="s">
        <v>322</v>
      </c>
      <c r="K1018" s="469">
        <v>91</v>
      </c>
      <c r="L1018" s="470">
        <v>1</v>
      </c>
      <c r="M1018" s="509"/>
    </row>
    <row r="1019" spans="1:13" ht="12.75">
      <c r="A1019" s="466" t="s">
        <v>318</v>
      </c>
      <c r="B1019" s="450" t="s">
        <v>359</v>
      </c>
      <c r="C1019" s="458" t="s">
        <v>406</v>
      </c>
      <c r="D1019" s="449">
        <v>37743</v>
      </c>
      <c r="E1019" s="450" t="s">
        <v>245</v>
      </c>
      <c r="F1019" s="467">
        <v>0.6</v>
      </c>
      <c r="G1019" s="467" t="s">
        <v>321</v>
      </c>
      <c r="H1019" s="468">
        <v>1</v>
      </c>
      <c r="I1019" s="450">
        <v>0.6</v>
      </c>
      <c r="J1019" s="450" t="s">
        <v>322</v>
      </c>
      <c r="K1019" s="469">
        <v>91</v>
      </c>
      <c r="L1019" s="470">
        <v>1</v>
      </c>
      <c r="M1019" s="509"/>
    </row>
    <row r="1020" spans="1:13" ht="12.75">
      <c r="A1020" s="466" t="s">
        <v>318</v>
      </c>
      <c r="B1020" s="450" t="s">
        <v>359</v>
      </c>
      <c r="C1020" s="458" t="s">
        <v>406</v>
      </c>
      <c r="D1020" s="449">
        <v>37897</v>
      </c>
      <c r="E1020" s="450" t="s">
        <v>245</v>
      </c>
      <c r="F1020" s="467">
        <v>0.6</v>
      </c>
      <c r="G1020" s="467" t="s">
        <v>321</v>
      </c>
      <c r="H1020" s="468">
        <v>1</v>
      </c>
      <c r="I1020" s="450">
        <v>0.6</v>
      </c>
      <c r="J1020" s="450" t="s">
        <v>322</v>
      </c>
      <c r="K1020" s="469">
        <v>91</v>
      </c>
      <c r="L1020" s="470">
        <v>1</v>
      </c>
      <c r="M1020" s="509"/>
    </row>
    <row r="1021" spans="1:13" ht="12.75">
      <c r="A1021" s="466" t="s">
        <v>318</v>
      </c>
      <c r="B1021" s="450" t="s">
        <v>359</v>
      </c>
      <c r="C1021" s="458" t="s">
        <v>406</v>
      </c>
      <c r="D1021" s="449">
        <v>38113</v>
      </c>
      <c r="E1021" s="450" t="s">
        <v>245</v>
      </c>
      <c r="F1021" s="467">
        <v>0.6</v>
      </c>
      <c r="G1021" s="467" t="s">
        <v>321</v>
      </c>
      <c r="H1021" s="468">
        <v>1</v>
      </c>
      <c r="I1021" s="450">
        <v>0.6</v>
      </c>
      <c r="J1021" s="450" t="s">
        <v>322</v>
      </c>
      <c r="K1021" s="469">
        <v>91</v>
      </c>
      <c r="L1021" s="470">
        <v>1</v>
      </c>
      <c r="M1021" s="509"/>
    </row>
    <row r="1022" spans="1:13" ht="12.75">
      <c r="A1022" s="466" t="s">
        <v>318</v>
      </c>
      <c r="B1022" s="450" t="s">
        <v>359</v>
      </c>
      <c r="C1022" s="458" t="s">
        <v>406</v>
      </c>
      <c r="D1022" s="449">
        <v>38273</v>
      </c>
      <c r="E1022" s="450" t="s">
        <v>245</v>
      </c>
      <c r="F1022" s="467">
        <v>0.9</v>
      </c>
      <c r="G1022" s="467" t="s">
        <v>321</v>
      </c>
      <c r="H1022" s="468">
        <v>1</v>
      </c>
      <c r="I1022" s="450">
        <v>0.9</v>
      </c>
      <c r="J1022" s="450" t="s">
        <v>322</v>
      </c>
      <c r="K1022" s="469">
        <v>91</v>
      </c>
      <c r="L1022" s="470">
        <v>1</v>
      </c>
      <c r="M1022" s="509"/>
    </row>
    <row r="1023" spans="1:13" ht="12.75">
      <c r="A1023" s="466" t="s">
        <v>318</v>
      </c>
      <c r="B1023" s="450" t="s">
        <v>359</v>
      </c>
      <c r="C1023" s="458" t="s">
        <v>406</v>
      </c>
      <c r="D1023" s="449">
        <v>38477</v>
      </c>
      <c r="E1023" s="450" t="s">
        <v>245</v>
      </c>
      <c r="F1023" s="467">
        <v>0.86</v>
      </c>
      <c r="G1023" s="467" t="s">
        <v>321</v>
      </c>
      <c r="H1023" s="468">
        <v>1</v>
      </c>
      <c r="I1023" s="450">
        <v>0.86</v>
      </c>
      <c r="J1023" s="450" t="s">
        <v>322</v>
      </c>
      <c r="K1023" s="469">
        <v>91</v>
      </c>
      <c r="L1023" s="470">
        <v>1</v>
      </c>
      <c r="M1023" s="509"/>
    </row>
    <row r="1024" spans="1:13" ht="12.75">
      <c r="A1024" s="466" t="s">
        <v>318</v>
      </c>
      <c r="B1024" s="450" t="s">
        <v>359</v>
      </c>
      <c r="C1024" s="458" t="s">
        <v>406</v>
      </c>
      <c r="D1024" s="449">
        <v>38638</v>
      </c>
      <c r="E1024" s="450" t="s">
        <v>245</v>
      </c>
      <c r="F1024" s="467">
        <v>0.9</v>
      </c>
      <c r="G1024" s="467" t="s">
        <v>321</v>
      </c>
      <c r="H1024" s="468">
        <v>1</v>
      </c>
      <c r="I1024" s="450">
        <v>0.9</v>
      </c>
      <c r="J1024" s="450" t="s">
        <v>322</v>
      </c>
      <c r="K1024" s="469">
        <v>91</v>
      </c>
      <c r="L1024" s="470">
        <v>1</v>
      </c>
      <c r="M1024" s="509"/>
    </row>
    <row r="1025" spans="1:13" ht="12.75">
      <c r="A1025" s="466" t="s">
        <v>318</v>
      </c>
      <c r="B1025" s="450" t="s">
        <v>373</v>
      </c>
      <c r="C1025" s="458" t="s">
        <v>407</v>
      </c>
      <c r="D1025" s="449">
        <v>36802</v>
      </c>
      <c r="E1025" s="450" t="s">
        <v>245</v>
      </c>
      <c r="F1025" s="467">
        <v>0.3</v>
      </c>
      <c r="G1025" s="467" t="s">
        <v>321</v>
      </c>
      <c r="H1025" s="468" t="s">
        <v>322</v>
      </c>
      <c r="I1025" s="450" t="s">
        <v>322</v>
      </c>
      <c r="J1025" s="450" t="s">
        <v>322</v>
      </c>
      <c r="K1025" s="469">
        <v>92</v>
      </c>
      <c r="L1025" s="470" t="s">
        <v>322</v>
      </c>
      <c r="M1025" s="509"/>
    </row>
    <row r="1026" spans="1:13" ht="12.75">
      <c r="A1026" s="466" t="s">
        <v>318</v>
      </c>
      <c r="B1026" s="450" t="s">
        <v>371</v>
      </c>
      <c r="C1026" s="458" t="s">
        <v>407</v>
      </c>
      <c r="D1026" s="449">
        <v>37386</v>
      </c>
      <c r="E1026" s="450" t="s">
        <v>245</v>
      </c>
      <c r="F1026" s="467">
        <v>0.04</v>
      </c>
      <c r="G1026" s="467" t="s">
        <v>321</v>
      </c>
      <c r="H1026" s="468">
        <v>0.05</v>
      </c>
      <c r="I1026" s="450">
        <v>0.04</v>
      </c>
      <c r="J1026" s="450" t="s">
        <v>322</v>
      </c>
      <c r="K1026" s="469">
        <v>92</v>
      </c>
      <c r="L1026" s="470">
        <v>1</v>
      </c>
      <c r="M1026" s="509"/>
    </row>
    <row r="1027" spans="1:13" ht="12.75">
      <c r="A1027" s="466" t="s">
        <v>318</v>
      </c>
      <c r="B1027" s="450" t="s">
        <v>371</v>
      </c>
      <c r="C1027" s="458" t="s">
        <v>407</v>
      </c>
      <c r="D1027" s="449">
        <v>37537</v>
      </c>
      <c r="E1027" s="450" t="s">
        <v>245</v>
      </c>
      <c r="F1027" s="467">
        <v>0.04</v>
      </c>
      <c r="G1027" s="467" t="s">
        <v>321</v>
      </c>
      <c r="H1027" s="468">
        <v>0.05</v>
      </c>
      <c r="I1027" s="450">
        <v>0.04</v>
      </c>
      <c r="J1027" s="450" t="s">
        <v>322</v>
      </c>
      <c r="K1027" s="469">
        <v>92</v>
      </c>
      <c r="L1027" s="470">
        <v>1</v>
      </c>
      <c r="M1027" s="509"/>
    </row>
    <row r="1028" spans="1:13" ht="12.75">
      <c r="A1028" s="466" t="s">
        <v>318</v>
      </c>
      <c r="B1028" s="450" t="s">
        <v>371</v>
      </c>
      <c r="C1028" s="458" t="s">
        <v>407</v>
      </c>
      <c r="D1028" s="449">
        <v>37743</v>
      </c>
      <c r="E1028" s="450" t="s">
        <v>245</v>
      </c>
      <c r="F1028" s="467">
        <v>0.04</v>
      </c>
      <c r="G1028" s="467" t="s">
        <v>321</v>
      </c>
      <c r="H1028" s="468">
        <v>0.05</v>
      </c>
      <c r="I1028" s="450">
        <v>0.04</v>
      </c>
      <c r="J1028" s="450" t="s">
        <v>322</v>
      </c>
      <c r="K1028" s="469">
        <v>92</v>
      </c>
      <c r="L1028" s="470">
        <v>1</v>
      </c>
      <c r="M1028" s="509"/>
    </row>
    <row r="1029" spans="1:13" ht="12.75">
      <c r="A1029" s="466" t="s">
        <v>318</v>
      </c>
      <c r="B1029" s="450" t="s">
        <v>371</v>
      </c>
      <c r="C1029" s="458" t="s">
        <v>407</v>
      </c>
      <c r="D1029" s="449">
        <v>37897</v>
      </c>
      <c r="E1029" s="450" t="s">
        <v>245</v>
      </c>
      <c r="F1029" s="467">
        <v>0.04</v>
      </c>
      <c r="G1029" s="467" t="s">
        <v>321</v>
      </c>
      <c r="H1029" s="468">
        <v>0.05</v>
      </c>
      <c r="I1029" s="450">
        <v>0.04</v>
      </c>
      <c r="J1029" s="450" t="s">
        <v>322</v>
      </c>
      <c r="K1029" s="469">
        <v>92</v>
      </c>
      <c r="L1029" s="470">
        <v>1</v>
      </c>
      <c r="M1029" s="509"/>
    </row>
    <row r="1030" spans="1:13" ht="12.75">
      <c r="A1030" s="466" t="s">
        <v>318</v>
      </c>
      <c r="B1030" s="450" t="s">
        <v>371</v>
      </c>
      <c r="C1030" s="458" t="s">
        <v>407</v>
      </c>
      <c r="D1030" s="449">
        <v>38113</v>
      </c>
      <c r="E1030" s="450" t="s">
        <v>245</v>
      </c>
      <c r="F1030" s="467">
        <v>0.04</v>
      </c>
      <c r="G1030" s="467" t="s">
        <v>321</v>
      </c>
      <c r="H1030" s="468">
        <v>0.05</v>
      </c>
      <c r="I1030" s="450">
        <v>0.04</v>
      </c>
      <c r="J1030" s="450" t="s">
        <v>322</v>
      </c>
      <c r="K1030" s="469">
        <v>92</v>
      </c>
      <c r="L1030" s="470">
        <v>1</v>
      </c>
      <c r="M1030" s="509"/>
    </row>
    <row r="1031" spans="1:13" ht="12.75">
      <c r="A1031" s="466" t="s">
        <v>318</v>
      </c>
      <c r="B1031" s="450" t="s">
        <v>371</v>
      </c>
      <c r="C1031" s="458" t="s">
        <v>407</v>
      </c>
      <c r="D1031" s="449">
        <v>38273</v>
      </c>
      <c r="E1031" s="450" t="s">
        <v>245</v>
      </c>
      <c r="F1031" s="467">
        <v>0.03</v>
      </c>
      <c r="G1031" s="467" t="s">
        <v>321</v>
      </c>
      <c r="H1031" s="468">
        <v>0.05</v>
      </c>
      <c r="I1031" s="450">
        <v>0.03</v>
      </c>
      <c r="J1031" s="450" t="s">
        <v>322</v>
      </c>
      <c r="K1031" s="469">
        <v>92</v>
      </c>
      <c r="L1031" s="470">
        <v>1</v>
      </c>
      <c r="M1031" s="509"/>
    </row>
    <row r="1032" spans="1:13" ht="12.75">
      <c r="A1032" s="466" t="s">
        <v>318</v>
      </c>
      <c r="B1032" s="450" t="s">
        <v>371</v>
      </c>
      <c r="C1032" s="458" t="s">
        <v>407</v>
      </c>
      <c r="D1032" s="449">
        <v>38477</v>
      </c>
      <c r="E1032" s="450" t="s">
        <v>245</v>
      </c>
      <c r="F1032" s="467">
        <v>0.029</v>
      </c>
      <c r="G1032" s="467" t="s">
        <v>321</v>
      </c>
      <c r="H1032" s="468">
        <v>0.05</v>
      </c>
      <c r="I1032" s="450">
        <v>0.029</v>
      </c>
      <c r="J1032" s="450" t="s">
        <v>322</v>
      </c>
      <c r="K1032" s="469">
        <v>92</v>
      </c>
      <c r="L1032" s="470">
        <v>1</v>
      </c>
      <c r="M1032" s="509"/>
    </row>
    <row r="1033" spans="1:13" ht="12.75">
      <c r="A1033" s="466" t="s">
        <v>318</v>
      </c>
      <c r="B1033" s="450" t="s">
        <v>371</v>
      </c>
      <c r="C1033" s="458" t="s">
        <v>407</v>
      </c>
      <c r="D1033" s="449">
        <v>38638</v>
      </c>
      <c r="E1033" s="450" t="s">
        <v>245</v>
      </c>
      <c r="F1033" s="467">
        <v>0.03</v>
      </c>
      <c r="G1033" s="467" t="s">
        <v>321</v>
      </c>
      <c r="H1033" s="468">
        <v>0.05</v>
      </c>
      <c r="I1033" s="450">
        <v>0.03</v>
      </c>
      <c r="J1033" s="450" t="s">
        <v>322</v>
      </c>
      <c r="K1033" s="469">
        <v>92</v>
      </c>
      <c r="L1033" s="470">
        <v>1</v>
      </c>
      <c r="M1033" s="509"/>
    </row>
    <row r="1034" spans="1:13" ht="12.75">
      <c r="A1034" s="466" t="s">
        <v>318</v>
      </c>
      <c r="B1034" s="450" t="s">
        <v>359</v>
      </c>
      <c r="C1034" s="458" t="s">
        <v>119</v>
      </c>
      <c r="D1034" s="449">
        <v>37173</v>
      </c>
      <c r="E1034" s="450" t="s">
        <v>245</v>
      </c>
      <c r="F1034" s="467">
        <v>0.3</v>
      </c>
      <c r="G1034" s="467" t="s">
        <v>321</v>
      </c>
      <c r="H1034" s="468">
        <v>1</v>
      </c>
      <c r="I1034" s="450">
        <v>0.3</v>
      </c>
      <c r="J1034" s="450" t="s">
        <v>322</v>
      </c>
      <c r="K1034" s="469">
        <v>93</v>
      </c>
      <c r="L1034" s="470">
        <v>1</v>
      </c>
      <c r="M1034" s="509"/>
    </row>
    <row r="1035" spans="1:13" ht="12.75">
      <c r="A1035" s="466" t="s">
        <v>318</v>
      </c>
      <c r="B1035" s="450" t="s">
        <v>359</v>
      </c>
      <c r="C1035" s="458" t="s">
        <v>119</v>
      </c>
      <c r="D1035" s="449">
        <v>37386</v>
      </c>
      <c r="E1035" s="450" t="s">
        <v>245</v>
      </c>
      <c r="F1035" s="467">
        <v>0.3</v>
      </c>
      <c r="G1035" s="467" t="s">
        <v>321</v>
      </c>
      <c r="H1035" s="468">
        <v>1</v>
      </c>
      <c r="I1035" s="450">
        <v>0.3</v>
      </c>
      <c r="J1035" s="450" t="s">
        <v>322</v>
      </c>
      <c r="K1035" s="469">
        <v>93</v>
      </c>
      <c r="L1035" s="470">
        <v>1</v>
      </c>
      <c r="M1035" s="509"/>
    </row>
    <row r="1036" spans="1:13" ht="12.75">
      <c r="A1036" s="466" t="s">
        <v>318</v>
      </c>
      <c r="B1036" s="450" t="s">
        <v>359</v>
      </c>
      <c r="C1036" s="458" t="s">
        <v>119</v>
      </c>
      <c r="D1036" s="449">
        <v>37537</v>
      </c>
      <c r="E1036" s="450" t="s">
        <v>245</v>
      </c>
      <c r="F1036" s="467">
        <v>0.8</v>
      </c>
      <c r="G1036" s="467" t="s">
        <v>321</v>
      </c>
      <c r="H1036" s="468">
        <v>1</v>
      </c>
      <c r="I1036" s="450">
        <v>0.8</v>
      </c>
      <c r="J1036" s="450" t="s">
        <v>322</v>
      </c>
      <c r="K1036" s="469">
        <v>93</v>
      </c>
      <c r="L1036" s="470">
        <v>1</v>
      </c>
      <c r="M1036" s="509"/>
    </row>
    <row r="1037" spans="1:13" ht="12.75">
      <c r="A1037" s="466" t="s">
        <v>318</v>
      </c>
      <c r="B1037" s="450" t="s">
        <v>359</v>
      </c>
      <c r="C1037" s="458" t="s">
        <v>119</v>
      </c>
      <c r="D1037" s="449">
        <v>37743</v>
      </c>
      <c r="E1037" s="450" t="s">
        <v>245</v>
      </c>
      <c r="F1037" s="467">
        <v>0.8</v>
      </c>
      <c r="G1037" s="467" t="s">
        <v>321</v>
      </c>
      <c r="H1037" s="468">
        <v>1</v>
      </c>
      <c r="I1037" s="450">
        <v>0.8</v>
      </c>
      <c r="J1037" s="450" t="s">
        <v>322</v>
      </c>
      <c r="K1037" s="469">
        <v>93</v>
      </c>
      <c r="L1037" s="470">
        <v>1</v>
      </c>
      <c r="M1037" s="509"/>
    </row>
    <row r="1038" spans="1:13" ht="12.75">
      <c r="A1038" s="466" t="s">
        <v>318</v>
      </c>
      <c r="B1038" s="450" t="s">
        <v>359</v>
      </c>
      <c r="C1038" s="458" t="s">
        <v>119</v>
      </c>
      <c r="D1038" s="449">
        <v>37897</v>
      </c>
      <c r="E1038" s="450" t="s">
        <v>245</v>
      </c>
      <c r="F1038" s="467">
        <v>0.8</v>
      </c>
      <c r="G1038" s="467" t="s">
        <v>321</v>
      </c>
      <c r="H1038" s="468">
        <v>1</v>
      </c>
      <c r="I1038" s="450">
        <v>0.8</v>
      </c>
      <c r="J1038" s="450" t="s">
        <v>322</v>
      </c>
      <c r="K1038" s="469">
        <v>93</v>
      </c>
      <c r="L1038" s="470">
        <v>1</v>
      </c>
      <c r="M1038" s="509"/>
    </row>
    <row r="1039" spans="1:13" ht="12.75">
      <c r="A1039" s="466" t="s">
        <v>318</v>
      </c>
      <c r="B1039" s="450" t="s">
        <v>359</v>
      </c>
      <c r="C1039" s="458" t="s">
        <v>119</v>
      </c>
      <c r="D1039" s="449">
        <v>38113</v>
      </c>
      <c r="E1039" s="450" t="s">
        <v>245</v>
      </c>
      <c r="F1039" s="467">
        <v>0.8</v>
      </c>
      <c r="G1039" s="467" t="s">
        <v>321</v>
      </c>
      <c r="H1039" s="468">
        <v>1</v>
      </c>
      <c r="I1039" s="450">
        <v>0.8</v>
      </c>
      <c r="J1039" s="450" t="s">
        <v>322</v>
      </c>
      <c r="K1039" s="469">
        <v>93</v>
      </c>
      <c r="L1039" s="470">
        <v>1</v>
      </c>
      <c r="M1039" s="509"/>
    </row>
    <row r="1040" spans="1:13" ht="12.75">
      <c r="A1040" s="466" t="s">
        <v>318</v>
      </c>
      <c r="B1040" s="450" t="s">
        <v>359</v>
      </c>
      <c r="C1040" s="458" t="s">
        <v>119</v>
      </c>
      <c r="D1040" s="449">
        <v>38273</v>
      </c>
      <c r="E1040" s="450" t="s">
        <v>245</v>
      </c>
      <c r="F1040" s="467">
        <v>0.5</v>
      </c>
      <c r="G1040" s="467" t="s">
        <v>321</v>
      </c>
      <c r="H1040" s="468">
        <v>1</v>
      </c>
      <c r="I1040" s="450">
        <v>0.5</v>
      </c>
      <c r="J1040" s="450" t="s">
        <v>322</v>
      </c>
      <c r="K1040" s="469">
        <v>93</v>
      </c>
      <c r="L1040" s="470">
        <v>1</v>
      </c>
      <c r="M1040" s="509"/>
    </row>
    <row r="1041" spans="1:13" ht="12.75">
      <c r="A1041" s="466" t="s">
        <v>318</v>
      </c>
      <c r="B1041" s="450" t="s">
        <v>359</v>
      </c>
      <c r="C1041" s="458" t="s">
        <v>119</v>
      </c>
      <c r="D1041" s="449">
        <v>38477</v>
      </c>
      <c r="E1041" s="450" t="s">
        <v>245</v>
      </c>
      <c r="F1041" s="467">
        <v>0.48</v>
      </c>
      <c r="G1041" s="467" t="s">
        <v>321</v>
      </c>
      <c r="H1041" s="468">
        <v>1</v>
      </c>
      <c r="I1041" s="450">
        <v>0.48</v>
      </c>
      <c r="J1041" s="450" t="s">
        <v>322</v>
      </c>
      <c r="K1041" s="469">
        <v>93</v>
      </c>
      <c r="L1041" s="470">
        <v>1</v>
      </c>
      <c r="M1041" s="509"/>
    </row>
    <row r="1042" spans="1:13" ht="12.75">
      <c r="A1042" s="466" t="s">
        <v>318</v>
      </c>
      <c r="B1042" s="450" t="s">
        <v>359</v>
      </c>
      <c r="C1042" s="458" t="s">
        <v>119</v>
      </c>
      <c r="D1042" s="449">
        <v>38638</v>
      </c>
      <c r="E1042" s="450" t="s">
        <v>245</v>
      </c>
      <c r="F1042" s="467">
        <v>0.5</v>
      </c>
      <c r="G1042" s="467" t="s">
        <v>321</v>
      </c>
      <c r="H1042" s="468">
        <v>1</v>
      </c>
      <c r="I1042" s="450">
        <v>0.5</v>
      </c>
      <c r="J1042" s="450" t="s">
        <v>322</v>
      </c>
      <c r="K1042" s="469">
        <v>93</v>
      </c>
      <c r="L1042" s="470">
        <v>1</v>
      </c>
      <c r="M1042" s="509"/>
    </row>
    <row r="1043" spans="1:13" ht="12.75">
      <c r="A1043" s="466" t="s">
        <v>318</v>
      </c>
      <c r="B1043" s="450" t="s">
        <v>371</v>
      </c>
      <c r="C1043" s="458" t="s">
        <v>120</v>
      </c>
      <c r="D1043" s="449">
        <v>37386</v>
      </c>
      <c r="E1043" s="450" t="s">
        <v>245</v>
      </c>
      <c r="F1043" s="467">
        <v>0.05</v>
      </c>
      <c r="G1043" s="467" t="s">
        <v>321</v>
      </c>
      <c r="H1043" s="468">
        <v>0.2</v>
      </c>
      <c r="I1043" s="450">
        <v>0.05</v>
      </c>
      <c r="J1043" s="450" t="s">
        <v>322</v>
      </c>
      <c r="K1043" s="469">
        <v>94</v>
      </c>
      <c r="L1043" s="470">
        <v>1</v>
      </c>
      <c r="M1043" s="509"/>
    </row>
    <row r="1044" spans="1:13" ht="12.75">
      <c r="A1044" s="466" t="s">
        <v>318</v>
      </c>
      <c r="B1044" s="450" t="s">
        <v>371</v>
      </c>
      <c r="C1044" s="458" t="s">
        <v>120</v>
      </c>
      <c r="D1044" s="449">
        <v>37537</v>
      </c>
      <c r="E1044" s="450" t="s">
        <v>245</v>
      </c>
      <c r="F1044" s="467">
        <v>0.05</v>
      </c>
      <c r="G1044" s="467" t="s">
        <v>321</v>
      </c>
      <c r="H1044" s="468">
        <v>0.2</v>
      </c>
      <c r="I1044" s="450">
        <v>0.05</v>
      </c>
      <c r="J1044" s="450" t="s">
        <v>322</v>
      </c>
      <c r="K1044" s="469">
        <v>94</v>
      </c>
      <c r="L1044" s="470">
        <v>1</v>
      </c>
      <c r="M1044" s="509"/>
    </row>
    <row r="1045" spans="1:13" ht="12.75">
      <c r="A1045" s="466" t="s">
        <v>318</v>
      </c>
      <c r="B1045" s="450" t="s">
        <v>371</v>
      </c>
      <c r="C1045" s="458" t="s">
        <v>120</v>
      </c>
      <c r="D1045" s="449">
        <v>37743</v>
      </c>
      <c r="E1045" s="450" t="s">
        <v>245</v>
      </c>
      <c r="F1045" s="467">
        <v>0.05</v>
      </c>
      <c r="G1045" s="467" t="s">
        <v>321</v>
      </c>
      <c r="H1045" s="468">
        <v>0.2</v>
      </c>
      <c r="I1045" s="450">
        <v>0.05</v>
      </c>
      <c r="J1045" s="450" t="s">
        <v>322</v>
      </c>
      <c r="K1045" s="469">
        <v>94</v>
      </c>
      <c r="L1045" s="470">
        <v>1</v>
      </c>
      <c r="M1045" s="509"/>
    </row>
    <row r="1046" spans="1:13" ht="12.75">
      <c r="A1046" s="466" t="s">
        <v>318</v>
      </c>
      <c r="B1046" s="450" t="s">
        <v>371</v>
      </c>
      <c r="C1046" s="458" t="s">
        <v>120</v>
      </c>
      <c r="D1046" s="449">
        <v>37897</v>
      </c>
      <c r="E1046" s="450" t="s">
        <v>245</v>
      </c>
      <c r="F1046" s="467">
        <v>0.05</v>
      </c>
      <c r="G1046" s="467" t="s">
        <v>321</v>
      </c>
      <c r="H1046" s="468">
        <v>0.2</v>
      </c>
      <c r="I1046" s="450">
        <v>0.05</v>
      </c>
      <c r="J1046" s="450" t="s">
        <v>322</v>
      </c>
      <c r="K1046" s="469">
        <v>94</v>
      </c>
      <c r="L1046" s="470">
        <v>1</v>
      </c>
      <c r="M1046" s="509"/>
    </row>
    <row r="1047" spans="1:13" ht="12.75">
      <c r="A1047" s="466" t="s">
        <v>318</v>
      </c>
      <c r="B1047" s="450" t="s">
        <v>371</v>
      </c>
      <c r="C1047" s="458" t="s">
        <v>120</v>
      </c>
      <c r="D1047" s="449">
        <v>38113</v>
      </c>
      <c r="E1047" s="450" t="s">
        <v>245</v>
      </c>
      <c r="F1047" s="467">
        <v>0.05</v>
      </c>
      <c r="G1047" s="467" t="s">
        <v>321</v>
      </c>
      <c r="H1047" s="468">
        <v>0.2</v>
      </c>
      <c r="I1047" s="450">
        <v>0.05</v>
      </c>
      <c r="J1047" s="450" t="s">
        <v>322</v>
      </c>
      <c r="K1047" s="469">
        <v>94</v>
      </c>
      <c r="L1047" s="470">
        <v>1</v>
      </c>
      <c r="M1047" s="509"/>
    </row>
    <row r="1048" spans="1:13" ht="12.75">
      <c r="A1048" s="466" t="s">
        <v>318</v>
      </c>
      <c r="B1048" s="450" t="s">
        <v>371</v>
      </c>
      <c r="C1048" s="458" t="s">
        <v>120</v>
      </c>
      <c r="D1048" s="449">
        <v>38273</v>
      </c>
      <c r="E1048" s="450" t="s">
        <v>245</v>
      </c>
      <c r="F1048" s="467">
        <v>0.02</v>
      </c>
      <c r="G1048" s="467" t="s">
        <v>321</v>
      </c>
      <c r="H1048" s="468">
        <v>0.2</v>
      </c>
      <c r="I1048" s="450">
        <v>0.02</v>
      </c>
      <c r="J1048" s="450" t="s">
        <v>322</v>
      </c>
      <c r="K1048" s="469">
        <v>94</v>
      </c>
      <c r="L1048" s="470">
        <v>1</v>
      </c>
      <c r="M1048" s="509"/>
    </row>
    <row r="1049" spans="1:13" ht="12.75">
      <c r="A1049" s="466" t="s">
        <v>318</v>
      </c>
      <c r="B1049" s="450" t="s">
        <v>371</v>
      </c>
      <c r="C1049" s="458" t="s">
        <v>120</v>
      </c>
      <c r="D1049" s="449">
        <v>38477</v>
      </c>
      <c r="E1049" s="450" t="s">
        <v>245</v>
      </c>
      <c r="F1049" s="467">
        <v>0.019</v>
      </c>
      <c r="G1049" s="467" t="s">
        <v>321</v>
      </c>
      <c r="H1049" s="468">
        <v>0.2</v>
      </c>
      <c r="I1049" s="450">
        <v>0.019</v>
      </c>
      <c r="J1049" s="450" t="s">
        <v>322</v>
      </c>
      <c r="K1049" s="469">
        <v>94</v>
      </c>
      <c r="L1049" s="470">
        <v>1</v>
      </c>
      <c r="M1049" s="509"/>
    </row>
    <row r="1050" spans="1:13" ht="12.75">
      <c r="A1050" s="466" t="s">
        <v>318</v>
      </c>
      <c r="B1050" s="450" t="s">
        <v>371</v>
      </c>
      <c r="C1050" s="458" t="s">
        <v>120</v>
      </c>
      <c r="D1050" s="449">
        <v>38638</v>
      </c>
      <c r="E1050" s="450" t="s">
        <v>245</v>
      </c>
      <c r="F1050" s="467">
        <v>0.02</v>
      </c>
      <c r="G1050" s="467" t="s">
        <v>321</v>
      </c>
      <c r="H1050" s="468">
        <v>0.2</v>
      </c>
      <c r="I1050" s="450">
        <v>0.02</v>
      </c>
      <c r="J1050" s="450" t="s">
        <v>322</v>
      </c>
      <c r="K1050" s="469">
        <v>94</v>
      </c>
      <c r="L1050" s="470">
        <v>1</v>
      </c>
      <c r="M1050" s="509"/>
    </row>
    <row r="1051" spans="1:13" ht="12.75">
      <c r="A1051" s="466" t="s">
        <v>318</v>
      </c>
      <c r="B1051" s="450" t="s">
        <v>359</v>
      </c>
      <c r="C1051" s="458" t="s">
        <v>121</v>
      </c>
      <c r="D1051" s="449">
        <v>37173</v>
      </c>
      <c r="E1051" s="450" t="s">
        <v>245</v>
      </c>
      <c r="F1051" s="467">
        <v>0.3</v>
      </c>
      <c r="G1051" s="467" t="s">
        <v>321</v>
      </c>
      <c r="H1051" s="468">
        <v>1</v>
      </c>
      <c r="I1051" s="450">
        <v>0.3</v>
      </c>
      <c r="J1051" s="450" t="s">
        <v>322</v>
      </c>
      <c r="K1051" s="469">
        <v>95</v>
      </c>
      <c r="L1051" s="470">
        <v>1</v>
      </c>
      <c r="M1051" s="509"/>
    </row>
    <row r="1052" spans="1:13" ht="12.75">
      <c r="A1052" s="466" t="s">
        <v>318</v>
      </c>
      <c r="B1052" s="450" t="s">
        <v>359</v>
      </c>
      <c r="C1052" s="458" t="s">
        <v>121</v>
      </c>
      <c r="D1052" s="449">
        <v>37386</v>
      </c>
      <c r="E1052" s="450" t="s">
        <v>245</v>
      </c>
      <c r="F1052" s="467">
        <v>0.3</v>
      </c>
      <c r="G1052" s="467" t="s">
        <v>321</v>
      </c>
      <c r="H1052" s="468">
        <v>1</v>
      </c>
      <c r="I1052" s="450">
        <v>0.3</v>
      </c>
      <c r="J1052" s="450" t="s">
        <v>322</v>
      </c>
      <c r="K1052" s="469">
        <v>95</v>
      </c>
      <c r="L1052" s="470">
        <v>1</v>
      </c>
      <c r="M1052" s="509"/>
    </row>
    <row r="1053" spans="1:13" ht="12.75">
      <c r="A1053" s="466" t="s">
        <v>318</v>
      </c>
      <c r="B1053" s="450" t="s">
        <v>359</v>
      </c>
      <c r="C1053" s="458" t="s">
        <v>121</v>
      </c>
      <c r="D1053" s="449">
        <v>37537</v>
      </c>
      <c r="E1053" s="450" t="s">
        <v>245</v>
      </c>
      <c r="F1053" s="467">
        <v>0.7</v>
      </c>
      <c r="G1053" s="467" t="s">
        <v>321</v>
      </c>
      <c r="H1053" s="468">
        <v>1</v>
      </c>
      <c r="I1053" s="450">
        <v>0.7</v>
      </c>
      <c r="J1053" s="450" t="s">
        <v>322</v>
      </c>
      <c r="K1053" s="469">
        <v>95</v>
      </c>
      <c r="L1053" s="470">
        <v>1</v>
      </c>
      <c r="M1053" s="509"/>
    </row>
    <row r="1054" spans="1:13" ht="12.75">
      <c r="A1054" s="466" t="s">
        <v>318</v>
      </c>
      <c r="B1054" s="450" t="s">
        <v>359</v>
      </c>
      <c r="C1054" s="458" t="s">
        <v>121</v>
      </c>
      <c r="D1054" s="449">
        <v>37743</v>
      </c>
      <c r="E1054" s="450" t="s">
        <v>245</v>
      </c>
      <c r="F1054" s="467">
        <v>0.7</v>
      </c>
      <c r="G1054" s="467" t="s">
        <v>321</v>
      </c>
      <c r="H1054" s="468">
        <v>1</v>
      </c>
      <c r="I1054" s="450">
        <v>0.7</v>
      </c>
      <c r="J1054" s="450" t="s">
        <v>322</v>
      </c>
      <c r="K1054" s="469">
        <v>95</v>
      </c>
      <c r="L1054" s="470">
        <v>1</v>
      </c>
      <c r="M1054" s="509"/>
    </row>
    <row r="1055" spans="1:13" ht="12.75">
      <c r="A1055" s="466" t="s">
        <v>318</v>
      </c>
      <c r="B1055" s="450" t="s">
        <v>359</v>
      </c>
      <c r="C1055" s="458" t="s">
        <v>121</v>
      </c>
      <c r="D1055" s="449">
        <v>37897</v>
      </c>
      <c r="E1055" s="450" t="s">
        <v>245</v>
      </c>
      <c r="F1055" s="467">
        <v>0.7</v>
      </c>
      <c r="G1055" s="467" t="s">
        <v>321</v>
      </c>
      <c r="H1055" s="468">
        <v>1</v>
      </c>
      <c r="I1055" s="450">
        <v>0.7</v>
      </c>
      <c r="J1055" s="450" t="s">
        <v>322</v>
      </c>
      <c r="K1055" s="469">
        <v>95</v>
      </c>
      <c r="L1055" s="470">
        <v>1</v>
      </c>
      <c r="M1055" s="509"/>
    </row>
    <row r="1056" spans="1:13" ht="12.75">
      <c r="A1056" s="466" t="s">
        <v>318</v>
      </c>
      <c r="B1056" s="450" t="s">
        <v>359</v>
      </c>
      <c r="C1056" s="458" t="s">
        <v>121</v>
      </c>
      <c r="D1056" s="449">
        <v>38113</v>
      </c>
      <c r="E1056" s="450" t="s">
        <v>245</v>
      </c>
      <c r="F1056" s="467">
        <v>0.7</v>
      </c>
      <c r="G1056" s="467" t="s">
        <v>321</v>
      </c>
      <c r="H1056" s="468">
        <v>1</v>
      </c>
      <c r="I1056" s="450">
        <v>0.7</v>
      </c>
      <c r="J1056" s="450" t="s">
        <v>322</v>
      </c>
      <c r="K1056" s="469">
        <v>95</v>
      </c>
      <c r="L1056" s="470">
        <v>1</v>
      </c>
      <c r="M1056" s="509"/>
    </row>
    <row r="1057" spans="1:13" ht="12.75">
      <c r="A1057" s="466" t="s">
        <v>318</v>
      </c>
      <c r="B1057" s="450" t="s">
        <v>359</v>
      </c>
      <c r="C1057" s="458" t="s">
        <v>121</v>
      </c>
      <c r="D1057" s="449">
        <v>38273</v>
      </c>
      <c r="E1057" s="450" t="s">
        <v>245</v>
      </c>
      <c r="F1057" s="467">
        <v>0.7</v>
      </c>
      <c r="G1057" s="467" t="s">
        <v>321</v>
      </c>
      <c r="H1057" s="468">
        <v>1</v>
      </c>
      <c r="I1057" s="450">
        <v>0.7</v>
      </c>
      <c r="J1057" s="450" t="s">
        <v>322</v>
      </c>
      <c r="K1057" s="469">
        <v>95</v>
      </c>
      <c r="L1057" s="470">
        <v>1</v>
      </c>
      <c r="M1057" s="509"/>
    </row>
    <row r="1058" spans="1:13" ht="12.75">
      <c r="A1058" s="466" t="s">
        <v>318</v>
      </c>
      <c r="B1058" s="450" t="s">
        <v>359</v>
      </c>
      <c r="C1058" s="458" t="s">
        <v>121</v>
      </c>
      <c r="D1058" s="449">
        <v>38477</v>
      </c>
      <c r="E1058" s="450" t="s">
        <v>245</v>
      </c>
      <c r="F1058" s="467">
        <v>0.67</v>
      </c>
      <c r="G1058" s="467" t="s">
        <v>321</v>
      </c>
      <c r="H1058" s="468">
        <v>1</v>
      </c>
      <c r="I1058" s="450">
        <v>0.67</v>
      </c>
      <c r="J1058" s="450" t="s">
        <v>322</v>
      </c>
      <c r="K1058" s="469">
        <v>95</v>
      </c>
      <c r="L1058" s="470">
        <v>1</v>
      </c>
      <c r="M1058" s="509"/>
    </row>
    <row r="1059" spans="1:13" ht="12.75">
      <c r="A1059" s="466" t="s">
        <v>318</v>
      </c>
      <c r="B1059" s="450" t="s">
        <v>359</v>
      </c>
      <c r="C1059" s="458" t="s">
        <v>121</v>
      </c>
      <c r="D1059" s="449">
        <v>38638</v>
      </c>
      <c r="E1059" s="450" t="s">
        <v>245</v>
      </c>
      <c r="F1059" s="467">
        <v>0.7</v>
      </c>
      <c r="G1059" s="467" t="s">
        <v>321</v>
      </c>
      <c r="H1059" s="468">
        <v>1</v>
      </c>
      <c r="I1059" s="450">
        <v>0.7</v>
      </c>
      <c r="J1059" s="450" t="s">
        <v>322</v>
      </c>
      <c r="K1059" s="469">
        <v>95</v>
      </c>
      <c r="L1059" s="470">
        <v>1</v>
      </c>
      <c r="M1059" s="509"/>
    </row>
    <row r="1060" spans="1:13" ht="12.75">
      <c r="A1060" s="466" t="s">
        <v>318</v>
      </c>
      <c r="B1060" s="450" t="s">
        <v>359</v>
      </c>
      <c r="C1060" s="458" t="s">
        <v>408</v>
      </c>
      <c r="D1060" s="449">
        <v>37173</v>
      </c>
      <c r="E1060" s="450" t="s">
        <v>245</v>
      </c>
      <c r="F1060" s="467">
        <v>0.4</v>
      </c>
      <c r="G1060" s="467" t="s">
        <v>321</v>
      </c>
      <c r="H1060" s="468">
        <v>5</v>
      </c>
      <c r="I1060" s="450">
        <v>0.4</v>
      </c>
      <c r="J1060" s="450" t="s">
        <v>322</v>
      </c>
      <c r="K1060" s="469">
        <v>96</v>
      </c>
      <c r="L1060" s="470">
        <v>1</v>
      </c>
      <c r="M1060" s="509"/>
    </row>
    <row r="1061" spans="1:13" ht="12.75">
      <c r="A1061" s="466" t="s">
        <v>318</v>
      </c>
      <c r="B1061" s="450" t="s">
        <v>359</v>
      </c>
      <c r="C1061" s="458" t="s">
        <v>408</v>
      </c>
      <c r="D1061" s="449">
        <v>37386</v>
      </c>
      <c r="E1061" s="450" t="s">
        <v>245</v>
      </c>
      <c r="F1061" s="467">
        <v>0.4</v>
      </c>
      <c r="G1061" s="467" t="s">
        <v>321</v>
      </c>
      <c r="H1061" s="468">
        <v>5</v>
      </c>
      <c r="I1061" s="450">
        <v>0.4</v>
      </c>
      <c r="J1061" s="450" t="s">
        <v>322</v>
      </c>
      <c r="K1061" s="469">
        <v>96</v>
      </c>
      <c r="L1061" s="470">
        <v>1</v>
      </c>
      <c r="M1061" s="509"/>
    </row>
    <row r="1062" spans="1:13" ht="12.75">
      <c r="A1062" s="466" t="s">
        <v>318</v>
      </c>
      <c r="B1062" s="450" t="s">
        <v>359</v>
      </c>
      <c r="C1062" s="458" t="s">
        <v>408</v>
      </c>
      <c r="D1062" s="449">
        <v>37537</v>
      </c>
      <c r="E1062" s="450" t="s">
        <v>245</v>
      </c>
      <c r="F1062" s="467">
        <v>0.6</v>
      </c>
      <c r="G1062" s="467" t="s">
        <v>321</v>
      </c>
      <c r="H1062" s="468">
        <v>5</v>
      </c>
      <c r="I1062" s="450">
        <v>0.6</v>
      </c>
      <c r="J1062" s="450" t="s">
        <v>322</v>
      </c>
      <c r="K1062" s="469">
        <v>96</v>
      </c>
      <c r="L1062" s="470">
        <v>1</v>
      </c>
      <c r="M1062" s="509"/>
    </row>
    <row r="1063" spans="1:13" ht="12.75">
      <c r="A1063" s="466" t="s">
        <v>318</v>
      </c>
      <c r="B1063" s="450" t="s">
        <v>359</v>
      </c>
      <c r="C1063" s="458" t="s">
        <v>408</v>
      </c>
      <c r="D1063" s="449">
        <v>37743</v>
      </c>
      <c r="E1063" s="450" t="s">
        <v>245</v>
      </c>
      <c r="F1063" s="467">
        <v>0.6</v>
      </c>
      <c r="G1063" s="467" t="s">
        <v>321</v>
      </c>
      <c r="H1063" s="468">
        <v>5</v>
      </c>
      <c r="I1063" s="450">
        <v>0.6</v>
      </c>
      <c r="J1063" s="450" t="s">
        <v>322</v>
      </c>
      <c r="K1063" s="469">
        <v>96</v>
      </c>
      <c r="L1063" s="470">
        <v>1</v>
      </c>
      <c r="M1063" s="509"/>
    </row>
    <row r="1064" spans="1:13" ht="12.75">
      <c r="A1064" s="466" t="s">
        <v>318</v>
      </c>
      <c r="B1064" s="450" t="s">
        <v>359</v>
      </c>
      <c r="C1064" s="458" t="s">
        <v>408</v>
      </c>
      <c r="D1064" s="449">
        <v>37897</v>
      </c>
      <c r="E1064" s="450" t="s">
        <v>245</v>
      </c>
      <c r="F1064" s="467">
        <v>0.6</v>
      </c>
      <c r="G1064" s="467" t="s">
        <v>321</v>
      </c>
      <c r="H1064" s="468">
        <v>5</v>
      </c>
      <c r="I1064" s="450">
        <v>0.6</v>
      </c>
      <c r="J1064" s="450" t="s">
        <v>322</v>
      </c>
      <c r="K1064" s="469">
        <v>96</v>
      </c>
      <c r="L1064" s="470">
        <v>1</v>
      </c>
      <c r="M1064" s="509"/>
    </row>
    <row r="1065" spans="1:13" ht="12.75">
      <c r="A1065" s="466" t="s">
        <v>318</v>
      </c>
      <c r="B1065" s="450" t="s">
        <v>359</v>
      </c>
      <c r="C1065" s="458" t="s">
        <v>408</v>
      </c>
      <c r="D1065" s="449">
        <v>38113</v>
      </c>
      <c r="E1065" s="450" t="s">
        <v>245</v>
      </c>
      <c r="F1065" s="467">
        <v>0.6</v>
      </c>
      <c r="G1065" s="467" t="s">
        <v>321</v>
      </c>
      <c r="H1065" s="468">
        <v>5</v>
      </c>
      <c r="I1065" s="450">
        <v>0.6</v>
      </c>
      <c r="J1065" s="450" t="s">
        <v>322</v>
      </c>
      <c r="K1065" s="469">
        <v>96</v>
      </c>
      <c r="L1065" s="470">
        <v>1</v>
      </c>
      <c r="M1065" s="509"/>
    </row>
    <row r="1066" spans="1:13" ht="12.75">
      <c r="A1066" s="466" t="s">
        <v>318</v>
      </c>
      <c r="B1066" s="450" t="s">
        <v>359</v>
      </c>
      <c r="C1066" s="458" t="s">
        <v>408</v>
      </c>
      <c r="D1066" s="449">
        <v>38273</v>
      </c>
      <c r="E1066" s="450" t="s">
        <v>245</v>
      </c>
      <c r="F1066" s="467">
        <v>0.6</v>
      </c>
      <c r="G1066" s="467" t="s">
        <v>321</v>
      </c>
      <c r="H1066" s="468">
        <v>5</v>
      </c>
      <c r="I1066" s="450">
        <v>0.6</v>
      </c>
      <c r="J1066" s="450" t="s">
        <v>322</v>
      </c>
      <c r="K1066" s="469">
        <v>96</v>
      </c>
      <c r="L1066" s="470">
        <v>1</v>
      </c>
      <c r="M1066" s="509"/>
    </row>
    <row r="1067" spans="1:13" ht="12.75">
      <c r="A1067" s="466" t="s">
        <v>318</v>
      </c>
      <c r="B1067" s="450" t="s">
        <v>359</v>
      </c>
      <c r="C1067" s="458" t="s">
        <v>408</v>
      </c>
      <c r="D1067" s="449">
        <v>38477</v>
      </c>
      <c r="E1067" s="450" t="s">
        <v>245</v>
      </c>
      <c r="F1067" s="467">
        <v>0.57</v>
      </c>
      <c r="G1067" s="467" t="s">
        <v>321</v>
      </c>
      <c r="H1067" s="468">
        <v>5</v>
      </c>
      <c r="I1067" s="450">
        <v>0.57</v>
      </c>
      <c r="J1067" s="450" t="s">
        <v>322</v>
      </c>
      <c r="K1067" s="469">
        <v>96</v>
      </c>
      <c r="L1067" s="470">
        <v>1</v>
      </c>
      <c r="M1067" s="509"/>
    </row>
    <row r="1068" spans="1:13" ht="12.75">
      <c r="A1068" s="466" t="s">
        <v>318</v>
      </c>
      <c r="B1068" s="450" t="s">
        <v>359</v>
      </c>
      <c r="C1068" s="458" t="s">
        <v>408</v>
      </c>
      <c r="D1068" s="449">
        <v>38638</v>
      </c>
      <c r="E1068" s="450" t="s">
        <v>245</v>
      </c>
      <c r="F1068" s="467">
        <v>0.6</v>
      </c>
      <c r="G1068" s="467" t="s">
        <v>321</v>
      </c>
      <c r="H1068" s="468">
        <v>5</v>
      </c>
      <c r="I1068" s="450">
        <v>0.6</v>
      </c>
      <c r="J1068" s="450" t="s">
        <v>322</v>
      </c>
      <c r="K1068" s="469">
        <v>96</v>
      </c>
      <c r="L1068" s="470">
        <v>1</v>
      </c>
      <c r="M1068" s="509"/>
    </row>
    <row r="1069" spans="1:13" ht="12.75">
      <c r="A1069" s="466" t="s">
        <v>318</v>
      </c>
      <c r="B1069" s="450" t="s">
        <v>359</v>
      </c>
      <c r="C1069" s="458" t="s">
        <v>409</v>
      </c>
      <c r="D1069" s="449">
        <v>37173</v>
      </c>
      <c r="E1069" s="450" t="s">
        <v>245</v>
      </c>
      <c r="F1069" s="467">
        <v>0.3</v>
      </c>
      <c r="G1069" s="467" t="s">
        <v>321</v>
      </c>
      <c r="H1069" s="468">
        <v>5</v>
      </c>
      <c r="I1069" s="450">
        <v>0.3</v>
      </c>
      <c r="J1069" s="450" t="s">
        <v>322</v>
      </c>
      <c r="K1069" s="469">
        <v>97</v>
      </c>
      <c r="L1069" s="470">
        <v>1</v>
      </c>
      <c r="M1069" s="509"/>
    </row>
    <row r="1070" spans="1:13" ht="12.75">
      <c r="A1070" s="466" t="s">
        <v>318</v>
      </c>
      <c r="B1070" s="450" t="s">
        <v>359</v>
      </c>
      <c r="C1070" s="458" t="s">
        <v>409</v>
      </c>
      <c r="D1070" s="449">
        <v>37386</v>
      </c>
      <c r="E1070" s="450" t="s">
        <v>245</v>
      </c>
      <c r="F1070" s="467">
        <v>0.3</v>
      </c>
      <c r="G1070" s="467" t="s">
        <v>321</v>
      </c>
      <c r="H1070" s="468">
        <v>5</v>
      </c>
      <c r="I1070" s="450">
        <v>0.3</v>
      </c>
      <c r="J1070" s="450" t="s">
        <v>322</v>
      </c>
      <c r="K1070" s="469">
        <v>97</v>
      </c>
      <c r="L1070" s="470">
        <v>1</v>
      </c>
      <c r="M1070" s="509"/>
    </row>
    <row r="1071" spans="1:13" ht="12.75">
      <c r="A1071" s="466" t="s">
        <v>318</v>
      </c>
      <c r="B1071" s="450" t="s">
        <v>359</v>
      </c>
      <c r="C1071" s="458" t="s">
        <v>409</v>
      </c>
      <c r="D1071" s="449">
        <v>37537</v>
      </c>
      <c r="E1071" s="450" t="s">
        <v>245</v>
      </c>
      <c r="F1071" s="467">
        <v>0.8</v>
      </c>
      <c r="G1071" s="467" t="s">
        <v>321</v>
      </c>
      <c r="H1071" s="468">
        <v>5</v>
      </c>
      <c r="I1071" s="450">
        <v>0.8</v>
      </c>
      <c r="J1071" s="450" t="s">
        <v>322</v>
      </c>
      <c r="K1071" s="469">
        <v>97</v>
      </c>
      <c r="L1071" s="470">
        <v>1</v>
      </c>
      <c r="M1071" s="509"/>
    </row>
    <row r="1072" spans="1:13" ht="12.75">
      <c r="A1072" s="466" t="s">
        <v>318</v>
      </c>
      <c r="B1072" s="450" t="s">
        <v>359</v>
      </c>
      <c r="C1072" s="458" t="s">
        <v>409</v>
      </c>
      <c r="D1072" s="449">
        <v>37743</v>
      </c>
      <c r="E1072" s="450" t="s">
        <v>245</v>
      </c>
      <c r="F1072" s="467">
        <v>0.8</v>
      </c>
      <c r="G1072" s="467" t="s">
        <v>321</v>
      </c>
      <c r="H1072" s="468">
        <v>5</v>
      </c>
      <c r="I1072" s="450">
        <v>0.8</v>
      </c>
      <c r="J1072" s="450" t="s">
        <v>322</v>
      </c>
      <c r="K1072" s="469">
        <v>97</v>
      </c>
      <c r="L1072" s="470">
        <v>1</v>
      </c>
      <c r="M1072" s="509"/>
    </row>
    <row r="1073" spans="1:13" ht="12.75">
      <c r="A1073" s="466" t="s">
        <v>318</v>
      </c>
      <c r="B1073" s="450" t="s">
        <v>359</v>
      </c>
      <c r="C1073" s="458" t="s">
        <v>409</v>
      </c>
      <c r="D1073" s="449">
        <v>37897</v>
      </c>
      <c r="E1073" s="450" t="s">
        <v>245</v>
      </c>
      <c r="F1073" s="467">
        <v>0.8</v>
      </c>
      <c r="G1073" s="467" t="s">
        <v>321</v>
      </c>
      <c r="H1073" s="468">
        <v>5</v>
      </c>
      <c r="I1073" s="450">
        <v>0.8</v>
      </c>
      <c r="J1073" s="450" t="s">
        <v>322</v>
      </c>
      <c r="K1073" s="469">
        <v>97</v>
      </c>
      <c r="L1073" s="470">
        <v>1</v>
      </c>
      <c r="M1073" s="509"/>
    </row>
    <row r="1074" spans="1:13" ht="12.75">
      <c r="A1074" s="466" t="s">
        <v>318</v>
      </c>
      <c r="B1074" s="450" t="s">
        <v>359</v>
      </c>
      <c r="C1074" s="458" t="s">
        <v>409</v>
      </c>
      <c r="D1074" s="449">
        <v>38113</v>
      </c>
      <c r="E1074" s="450" t="s">
        <v>245</v>
      </c>
      <c r="F1074" s="467">
        <v>0.8</v>
      </c>
      <c r="G1074" s="467" t="s">
        <v>321</v>
      </c>
      <c r="H1074" s="468">
        <v>5</v>
      </c>
      <c r="I1074" s="450">
        <v>0.8</v>
      </c>
      <c r="J1074" s="450" t="s">
        <v>322</v>
      </c>
      <c r="K1074" s="469">
        <v>97</v>
      </c>
      <c r="L1074" s="470">
        <v>1</v>
      </c>
      <c r="M1074" s="509"/>
    </row>
    <row r="1075" spans="1:13" ht="12.75">
      <c r="A1075" s="466" t="s">
        <v>318</v>
      </c>
      <c r="B1075" s="450" t="s">
        <v>359</v>
      </c>
      <c r="C1075" s="458" t="s">
        <v>409</v>
      </c>
      <c r="D1075" s="449">
        <v>38273</v>
      </c>
      <c r="E1075" s="450" t="s">
        <v>245</v>
      </c>
      <c r="F1075" s="467">
        <v>0.8</v>
      </c>
      <c r="G1075" s="467" t="s">
        <v>321</v>
      </c>
      <c r="H1075" s="468">
        <v>5</v>
      </c>
      <c r="I1075" s="450">
        <v>0.8</v>
      </c>
      <c r="J1075" s="450" t="s">
        <v>322</v>
      </c>
      <c r="K1075" s="469">
        <v>97</v>
      </c>
      <c r="L1075" s="470">
        <v>1</v>
      </c>
      <c r="M1075" s="509"/>
    </row>
    <row r="1076" spans="1:13" ht="12.75">
      <c r="A1076" s="466" t="s">
        <v>318</v>
      </c>
      <c r="B1076" s="450" t="s">
        <v>359</v>
      </c>
      <c r="C1076" s="458" t="s">
        <v>409</v>
      </c>
      <c r="D1076" s="449">
        <v>38477</v>
      </c>
      <c r="E1076" s="450" t="s">
        <v>245</v>
      </c>
      <c r="F1076" s="467">
        <v>0.76</v>
      </c>
      <c r="G1076" s="467" t="s">
        <v>321</v>
      </c>
      <c r="H1076" s="468">
        <v>5</v>
      </c>
      <c r="I1076" s="450">
        <v>0.76</v>
      </c>
      <c r="J1076" s="450" t="s">
        <v>322</v>
      </c>
      <c r="K1076" s="469">
        <v>97</v>
      </c>
      <c r="L1076" s="470">
        <v>1</v>
      </c>
      <c r="M1076" s="509"/>
    </row>
    <row r="1077" spans="1:13" ht="12.75">
      <c r="A1077" s="466" t="s">
        <v>318</v>
      </c>
      <c r="B1077" s="450" t="s">
        <v>359</v>
      </c>
      <c r="C1077" s="458" t="s">
        <v>409</v>
      </c>
      <c r="D1077" s="449">
        <v>38638</v>
      </c>
      <c r="E1077" s="450" t="s">
        <v>245</v>
      </c>
      <c r="F1077" s="467">
        <v>0.8</v>
      </c>
      <c r="G1077" s="467" t="s">
        <v>321</v>
      </c>
      <c r="H1077" s="468">
        <v>5</v>
      </c>
      <c r="I1077" s="450">
        <v>0.8</v>
      </c>
      <c r="J1077" s="450" t="s">
        <v>322</v>
      </c>
      <c r="K1077" s="469">
        <v>97</v>
      </c>
      <c r="L1077" s="470">
        <v>1</v>
      </c>
      <c r="M1077" s="509"/>
    </row>
    <row r="1078" spans="1:13" ht="12.75">
      <c r="A1078" s="466" t="s">
        <v>318</v>
      </c>
      <c r="B1078" s="450" t="s">
        <v>359</v>
      </c>
      <c r="C1078" s="458" t="s">
        <v>410</v>
      </c>
      <c r="D1078" s="449">
        <v>37173</v>
      </c>
      <c r="E1078" s="450" t="s">
        <v>245</v>
      </c>
      <c r="F1078" s="467">
        <v>0.4</v>
      </c>
      <c r="G1078" s="467" t="s">
        <v>321</v>
      </c>
      <c r="H1078" s="468">
        <v>1</v>
      </c>
      <c r="I1078" s="450">
        <v>0.4</v>
      </c>
      <c r="J1078" s="450" t="s">
        <v>322</v>
      </c>
      <c r="K1078" s="469">
        <v>98</v>
      </c>
      <c r="L1078" s="470">
        <v>1</v>
      </c>
      <c r="M1078" s="509"/>
    </row>
    <row r="1079" spans="1:13" ht="12.75">
      <c r="A1079" s="466" t="s">
        <v>318</v>
      </c>
      <c r="B1079" s="450" t="s">
        <v>359</v>
      </c>
      <c r="C1079" s="458" t="s">
        <v>410</v>
      </c>
      <c r="D1079" s="449">
        <v>37386</v>
      </c>
      <c r="E1079" s="450" t="s">
        <v>245</v>
      </c>
      <c r="F1079" s="467">
        <v>0.4</v>
      </c>
      <c r="G1079" s="467" t="s">
        <v>321</v>
      </c>
      <c r="H1079" s="468">
        <v>1</v>
      </c>
      <c r="I1079" s="450">
        <v>0.4</v>
      </c>
      <c r="J1079" s="450" t="s">
        <v>322</v>
      </c>
      <c r="K1079" s="469">
        <v>98</v>
      </c>
      <c r="L1079" s="470">
        <v>1</v>
      </c>
      <c r="M1079" s="509"/>
    </row>
    <row r="1080" spans="1:13" ht="12.75">
      <c r="A1080" s="466" t="s">
        <v>318</v>
      </c>
      <c r="B1080" s="450" t="s">
        <v>359</v>
      </c>
      <c r="C1080" s="458" t="s">
        <v>410</v>
      </c>
      <c r="D1080" s="449">
        <v>37537</v>
      </c>
      <c r="E1080" s="450" t="s">
        <v>245</v>
      </c>
      <c r="F1080" s="467">
        <v>0.7</v>
      </c>
      <c r="G1080" s="467" t="s">
        <v>321</v>
      </c>
      <c r="H1080" s="468">
        <v>1</v>
      </c>
      <c r="I1080" s="450">
        <v>0.7</v>
      </c>
      <c r="J1080" s="450" t="s">
        <v>322</v>
      </c>
      <c r="K1080" s="469">
        <v>98</v>
      </c>
      <c r="L1080" s="470">
        <v>1</v>
      </c>
      <c r="M1080" s="509"/>
    </row>
    <row r="1081" spans="1:13" ht="12.75">
      <c r="A1081" s="466" t="s">
        <v>318</v>
      </c>
      <c r="B1081" s="450" t="s">
        <v>359</v>
      </c>
      <c r="C1081" s="458" t="s">
        <v>410</v>
      </c>
      <c r="D1081" s="449">
        <v>37743</v>
      </c>
      <c r="E1081" s="450" t="s">
        <v>245</v>
      </c>
      <c r="F1081" s="467">
        <v>0.7</v>
      </c>
      <c r="G1081" s="467" t="s">
        <v>321</v>
      </c>
      <c r="H1081" s="468">
        <v>1</v>
      </c>
      <c r="I1081" s="450">
        <v>0.7</v>
      </c>
      <c r="J1081" s="450" t="s">
        <v>322</v>
      </c>
      <c r="K1081" s="469">
        <v>98</v>
      </c>
      <c r="L1081" s="470">
        <v>1</v>
      </c>
      <c r="M1081" s="509"/>
    </row>
    <row r="1082" spans="1:13" ht="12.75">
      <c r="A1082" s="466" t="s">
        <v>318</v>
      </c>
      <c r="B1082" s="450" t="s">
        <v>359</v>
      </c>
      <c r="C1082" s="458" t="s">
        <v>410</v>
      </c>
      <c r="D1082" s="449">
        <v>37897</v>
      </c>
      <c r="E1082" s="450" t="s">
        <v>245</v>
      </c>
      <c r="F1082" s="467">
        <v>0.7</v>
      </c>
      <c r="G1082" s="467" t="s">
        <v>321</v>
      </c>
      <c r="H1082" s="468">
        <v>1</v>
      </c>
      <c r="I1082" s="450">
        <v>0.7</v>
      </c>
      <c r="J1082" s="450" t="s">
        <v>322</v>
      </c>
      <c r="K1082" s="469">
        <v>98</v>
      </c>
      <c r="L1082" s="470">
        <v>1</v>
      </c>
      <c r="M1082" s="509"/>
    </row>
    <row r="1083" spans="1:13" ht="12.75">
      <c r="A1083" s="466" t="s">
        <v>318</v>
      </c>
      <c r="B1083" s="450" t="s">
        <v>359</v>
      </c>
      <c r="C1083" s="458" t="s">
        <v>410</v>
      </c>
      <c r="D1083" s="449">
        <v>38113</v>
      </c>
      <c r="E1083" s="450" t="s">
        <v>245</v>
      </c>
      <c r="F1083" s="467">
        <v>0.7</v>
      </c>
      <c r="G1083" s="467" t="s">
        <v>321</v>
      </c>
      <c r="H1083" s="468">
        <v>1</v>
      </c>
      <c r="I1083" s="450">
        <v>0.7</v>
      </c>
      <c r="J1083" s="450" t="s">
        <v>322</v>
      </c>
      <c r="K1083" s="469">
        <v>98</v>
      </c>
      <c r="L1083" s="470">
        <v>1</v>
      </c>
      <c r="M1083" s="509"/>
    </row>
    <row r="1084" spans="1:13" ht="12.75">
      <c r="A1084" s="466" t="s">
        <v>318</v>
      </c>
      <c r="B1084" s="450" t="s">
        <v>359</v>
      </c>
      <c r="C1084" s="458" t="s">
        <v>410</v>
      </c>
      <c r="D1084" s="449">
        <v>38273</v>
      </c>
      <c r="E1084" s="450" t="s">
        <v>245</v>
      </c>
      <c r="F1084" s="467">
        <v>0.6</v>
      </c>
      <c r="G1084" s="467" t="s">
        <v>321</v>
      </c>
      <c r="H1084" s="468">
        <v>1</v>
      </c>
      <c r="I1084" s="450">
        <v>0.6</v>
      </c>
      <c r="J1084" s="450" t="s">
        <v>322</v>
      </c>
      <c r="K1084" s="469">
        <v>98</v>
      </c>
      <c r="L1084" s="470">
        <v>1</v>
      </c>
      <c r="M1084" s="509"/>
    </row>
    <row r="1085" spans="1:13" ht="12.75">
      <c r="A1085" s="466" t="s">
        <v>318</v>
      </c>
      <c r="B1085" s="450" t="s">
        <v>359</v>
      </c>
      <c r="C1085" s="458" t="s">
        <v>410</v>
      </c>
      <c r="D1085" s="449">
        <v>38477</v>
      </c>
      <c r="E1085" s="450" t="s">
        <v>245</v>
      </c>
      <c r="F1085" s="467">
        <v>0.57</v>
      </c>
      <c r="G1085" s="467" t="s">
        <v>321</v>
      </c>
      <c r="H1085" s="468">
        <v>1</v>
      </c>
      <c r="I1085" s="450">
        <v>0.57</v>
      </c>
      <c r="J1085" s="450" t="s">
        <v>322</v>
      </c>
      <c r="K1085" s="469">
        <v>98</v>
      </c>
      <c r="L1085" s="470">
        <v>1</v>
      </c>
      <c r="M1085" s="509"/>
    </row>
    <row r="1086" spans="1:13" ht="12.75">
      <c r="A1086" s="466" t="s">
        <v>318</v>
      </c>
      <c r="B1086" s="450" t="s">
        <v>359</v>
      </c>
      <c r="C1086" s="458" t="s">
        <v>410</v>
      </c>
      <c r="D1086" s="449">
        <v>38638</v>
      </c>
      <c r="E1086" s="450" t="s">
        <v>245</v>
      </c>
      <c r="F1086" s="467">
        <v>0.6</v>
      </c>
      <c r="G1086" s="467" t="s">
        <v>321</v>
      </c>
      <c r="H1086" s="468">
        <v>1</v>
      </c>
      <c r="I1086" s="450">
        <v>0.6</v>
      </c>
      <c r="J1086" s="450" t="s">
        <v>322</v>
      </c>
      <c r="K1086" s="469">
        <v>98</v>
      </c>
      <c r="L1086" s="470">
        <v>1</v>
      </c>
      <c r="M1086" s="509"/>
    </row>
    <row r="1087" spans="1:13" ht="12.75">
      <c r="A1087" s="466" t="s">
        <v>318</v>
      </c>
      <c r="B1087" s="450" t="s">
        <v>373</v>
      </c>
      <c r="C1087" s="458" t="s">
        <v>125</v>
      </c>
      <c r="D1087" s="449">
        <v>36802</v>
      </c>
      <c r="E1087" s="450" t="s">
        <v>245</v>
      </c>
      <c r="F1087" s="467">
        <v>0.3</v>
      </c>
      <c r="G1087" s="467" t="s">
        <v>321</v>
      </c>
      <c r="H1087" s="468" t="s">
        <v>322</v>
      </c>
      <c r="I1087" s="450" t="s">
        <v>322</v>
      </c>
      <c r="J1087" s="450" t="s">
        <v>322</v>
      </c>
      <c r="K1087" s="469">
        <v>99</v>
      </c>
      <c r="L1087" s="470" t="s">
        <v>322</v>
      </c>
      <c r="M1087" s="509"/>
    </row>
    <row r="1088" spans="1:13" ht="12.75">
      <c r="A1088" s="466" t="s">
        <v>318</v>
      </c>
      <c r="B1088" s="450" t="s">
        <v>371</v>
      </c>
      <c r="C1088" s="458" t="s">
        <v>125</v>
      </c>
      <c r="D1088" s="449">
        <v>37386</v>
      </c>
      <c r="E1088" s="450" t="s">
        <v>245</v>
      </c>
      <c r="F1088" s="467">
        <v>0.03</v>
      </c>
      <c r="G1088" s="467" t="s">
        <v>321</v>
      </c>
      <c r="H1088" s="468">
        <v>0.05</v>
      </c>
      <c r="I1088" s="450">
        <v>0.03</v>
      </c>
      <c r="J1088" s="450" t="s">
        <v>322</v>
      </c>
      <c r="K1088" s="469">
        <v>99</v>
      </c>
      <c r="L1088" s="470">
        <v>1</v>
      </c>
      <c r="M1088" s="509"/>
    </row>
    <row r="1089" spans="1:13" ht="12.75">
      <c r="A1089" s="466" t="s">
        <v>318</v>
      </c>
      <c r="B1089" s="450" t="s">
        <v>371</v>
      </c>
      <c r="C1089" s="458" t="s">
        <v>125</v>
      </c>
      <c r="D1089" s="449">
        <v>37537</v>
      </c>
      <c r="E1089" s="450" t="s">
        <v>245</v>
      </c>
      <c r="F1089" s="467">
        <v>0.03</v>
      </c>
      <c r="G1089" s="467" t="s">
        <v>321</v>
      </c>
      <c r="H1089" s="468">
        <v>0.05</v>
      </c>
      <c r="I1089" s="450">
        <v>0.03</v>
      </c>
      <c r="J1089" s="450" t="s">
        <v>322</v>
      </c>
      <c r="K1089" s="469">
        <v>99</v>
      </c>
      <c r="L1089" s="470">
        <v>1</v>
      </c>
      <c r="M1089" s="509"/>
    </row>
    <row r="1090" spans="1:13" ht="12.75">
      <c r="A1090" s="466" t="s">
        <v>318</v>
      </c>
      <c r="B1090" s="450" t="s">
        <v>371</v>
      </c>
      <c r="C1090" s="458" t="s">
        <v>125</v>
      </c>
      <c r="D1090" s="449">
        <v>37743</v>
      </c>
      <c r="E1090" s="450" t="s">
        <v>245</v>
      </c>
      <c r="F1090" s="467">
        <v>0.03</v>
      </c>
      <c r="G1090" s="467" t="s">
        <v>321</v>
      </c>
      <c r="H1090" s="468">
        <v>0.05</v>
      </c>
      <c r="I1090" s="450">
        <v>0.03</v>
      </c>
      <c r="J1090" s="450" t="s">
        <v>322</v>
      </c>
      <c r="K1090" s="469">
        <v>99</v>
      </c>
      <c r="L1090" s="470">
        <v>1</v>
      </c>
      <c r="M1090" s="509"/>
    </row>
    <row r="1091" spans="1:13" ht="12.75">
      <c r="A1091" s="466" t="s">
        <v>318</v>
      </c>
      <c r="B1091" s="450" t="s">
        <v>371</v>
      </c>
      <c r="C1091" s="458" t="s">
        <v>125</v>
      </c>
      <c r="D1091" s="449">
        <v>37897</v>
      </c>
      <c r="E1091" s="450" t="s">
        <v>245</v>
      </c>
      <c r="F1091" s="467">
        <v>0.03</v>
      </c>
      <c r="G1091" s="467" t="s">
        <v>321</v>
      </c>
      <c r="H1091" s="468">
        <v>0.05</v>
      </c>
      <c r="I1091" s="450">
        <v>0.03</v>
      </c>
      <c r="J1091" s="450" t="s">
        <v>322</v>
      </c>
      <c r="K1091" s="469">
        <v>99</v>
      </c>
      <c r="L1091" s="470">
        <v>1</v>
      </c>
      <c r="M1091" s="509"/>
    </row>
    <row r="1092" spans="1:13" ht="12.75">
      <c r="A1092" s="466" t="s">
        <v>318</v>
      </c>
      <c r="B1092" s="450" t="s">
        <v>371</v>
      </c>
      <c r="C1092" s="458" t="s">
        <v>125</v>
      </c>
      <c r="D1092" s="449">
        <v>38113</v>
      </c>
      <c r="E1092" s="450" t="s">
        <v>245</v>
      </c>
      <c r="F1092" s="467">
        <v>0.03</v>
      </c>
      <c r="G1092" s="467" t="s">
        <v>321</v>
      </c>
      <c r="H1092" s="468">
        <v>0.05</v>
      </c>
      <c r="I1092" s="450">
        <v>0.03</v>
      </c>
      <c r="J1092" s="450" t="s">
        <v>322</v>
      </c>
      <c r="K1092" s="469">
        <v>99</v>
      </c>
      <c r="L1092" s="470">
        <v>1</v>
      </c>
      <c r="M1092" s="509"/>
    </row>
    <row r="1093" spans="1:13" ht="12.75">
      <c r="A1093" s="466" t="s">
        <v>318</v>
      </c>
      <c r="B1093" s="450" t="s">
        <v>371</v>
      </c>
      <c r="C1093" s="458" t="s">
        <v>125</v>
      </c>
      <c r="D1093" s="449">
        <v>38273</v>
      </c>
      <c r="E1093" s="450" t="s">
        <v>245</v>
      </c>
      <c r="F1093" s="467">
        <v>0.03</v>
      </c>
      <c r="G1093" s="467" t="s">
        <v>321</v>
      </c>
      <c r="H1093" s="468">
        <v>0.05</v>
      </c>
      <c r="I1093" s="450">
        <v>0.03</v>
      </c>
      <c r="J1093" s="450" t="s">
        <v>322</v>
      </c>
      <c r="K1093" s="469">
        <v>99</v>
      </c>
      <c r="L1093" s="470">
        <v>1</v>
      </c>
      <c r="M1093" s="509"/>
    </row>
    <row r="1094" spans="1:13" ht="12.75">
      <c r="A1094" s="466" t="s">
        <v>318</v>
      </c>
      <c r="B1094" s="450" t="s">
        <v>371</v>
      </c>
      <c r="C1094" s="458" t="s">
        <v>125</v>
      </c>
      <c r="D1094" s="449">
        <v>38477</v>
      </c>
      <c r="E1094" s="450" t="s">
        <v>245</v>
      </c>
      <c r="F1094" s="467">
        <v>0.029</v>
      </c>
      <c r="G1094" s="467" t="s">
        <v>321</v>
      </c>
      <c r="H1094" s="468">
        <v>0.05</v>
      </c>
      <c r="I1094" s="450">
        <v>0.029</v>
      </c>
      <c r="J1094" s="450" t="s">
        <v>322</v>
      </c>
      <c r="K1094" s="469">
        <v>99</v>
      </c>
      <c r="L1094" s="470">
        <v>1</v>
      </c>
      <c r="M1094" s="509"/>
    </row>
    <row r="1095" spans="1:13" ht="12.75">
      <c r="A1095" s="466" t="s">
        <v>318</v>
      </c>
      <c r="B1095" s="450" t="s">
        <v>371</v>
      </c>
      <c r="C1095" s="458" t="s">
        <v>125</v>
      </c>
      <c r="D1095" s="449">
        <v>38638</v>
      </c>
      <c r="E1095" s="450" t="s">
        <v>245</v>
      </c>
      <c r="F1095" s="467">
        <v>0.03</v>
      </c>
      <c r="G1095" s="467" t="s">
        <v>321</v>
      </c>
      <c r="H1095" s="468">
        <v>0.05</v>
      </c>
      <c r="I1095" s="450">
        <v>0.03</v>
      </c>
      <c r="J1095" s="450" t="s">
        <v>322</v>
      </c>
      <c r="K1095" s="469">
        <v>99</v>
      </c>
      <c r="L1095" s="470">
        <v>1</v>
      </c>
      <c r="M1095" s="509"/>
    </row>
    <row r="1096" spans="1:13" ht="12.75">
      <c r="A1096" s="466" t="s">
        <v>318</v>
      </c>
      <c r="B1096" s="450" t="s">
        <v>373</v>
      </c>
      <c r="C1096" s="458" t="s">
        <v>126</v>
      </c>
      <c r="D1096" s="449">
        <v>36802</v>
      </c>
      <c r="E1096" s="450" t="s">
        <v>245</v>
      </c>
      <c r="F1096" s="467">
        <v>0.3</v>
      </c>
      <c r="G1096" s="467" t="s">
        <v>321</v>
      </c>
      <c r="H1096" s="468" t="s">
        <v>322</v>
      </c>
      <c r="I1096" s="450" t="s">
        <v>322</v>
      </c>
      <c r="J1096" s="450" t="s">
        <v>322</v>
      </c>
      <c r="K1096" s="469">
        <v>100</v>
      </c>
      <c r="L1096" s="470" t="s">
        <v>322</v>
      </c>
      <c r="M1096" s="509"/>
    </row>
    <row r="1097" spans="1:13" ht="12.75">
      <c r="A1097" s="466" t="s">
        <v>318</v>
      </c>
      <c r="B1097" s="450" t="s">
        <v>371</v>
      </c>
      <c r="C1097" s="458" t="s">
        <v>126</v>
      </c>
      <c r="D1097" s="449">
        <v>37386</v>
      </c>
      <c r="E1097" s="450" t="s">
        <v>245</v>
      </c>
      <c r="F1097" s="467">
        <v>0.03</v>
      </c>
      <c r="G1097" s="467" t="s">
        <v>321</v>
      </c>
      <c r="H1097" s="468">
        <v>0.05</v>
      </c>
      <c r="I1097" s="450">
        <v>0.03</v>
      </c>
      <c r="J1097" s="450" t="s">
        <v>322</v>
      </c>
      <c r="K1097" s="469">
        <v>100</v>
      </c>
      <c r="L1097" s="470">
        <v>1</v>
      </c>
      <c r="M1097" s="509"/>
    </row>
    <row r="1098" spans="1:13" ht="12.75">
      <c r="A1098" s="466" t="s">
        <v>318</v>
      </c>
      <c r="B1098" s="450" t="s">
        <v>371</v>
      </c>
      <c r="C1098" s="458" t="s">
        <v>126</v>
      </c>
      <c r="D1098" s="449">
        <v>37537</v>
      </c>
      <c r="E1098" s="450" t="s">
        <v>245</v>
      </c>
      <c r="F1098" s="467">
        <v>0.03</v>
      </c>
      <c r="G1098" s="467" t="s">
        <v>321</v>
      </c>
      <c r="H1098" s="468">
        <v>0.05</v>
      </c>
      <c r="I1098" s="450">
        <v>0.03</v>
      </c>
      <c r="J1098" s="450" t="s">
        <v>322</v>
      </c>
      <c r="K1098" s="469">
        <v>100</v>
      </c>
      <c r="L1098" s="470">
        <v>1</v>
      </c>
      <c r="M1098" s="509"/>
    </row>
    <row r="1099" spans="1:13" ht="12.75">
      <c r="A1099" s="466" t="s">
        <v>318</v>
      </c>
      <c r="B1099" s="450" t="s">
        <v>371</v>
      </c>
      <c r="C1099" s="458" t="s">
        <v>126</v>
      </c>
      <c r="D1099" s="449">
        <v>37743</v>
      </c>
      <c r="E1099" s="450" t="s">
        <v>245</v>
      </c>
      <c r="F1099" s="467">
        <v>0.03</v>
      </c>
      <c r="G1099" s="467" t="s">
        <v>321</v>
      </c>
      <c r="H1099" s="468">
        <v>0.05</v>
      </c>
      <c r="I1099" s="450">
        <v>0.03</v>
      </c>
      <c r="J1099" s="450" t="s">
        <v>322</v>
      </c>
      <c r="K1099" s="469">
        <v>100</v>
      </c>
      <c r="L1099" s="470">
        <v>1</v>
      </c>
      <c r="M1099" s="509"/>
    </row>
    <row r="1100" spans="1:13" ht="12.75">
      <c r="A1100" s="466" t="s">
        <v>318</v>
      </c>
      <c r="B1100" s="450" t="s">
        <v>371</v>
      </c>
      <c r="C1100" s="458" t="s">
        <v>126</v>
      </c>
      <c r="D1100" s="449">
        <v>37897</v>
      </c>
      <c r="E1100" s="450" t="s">
        <v>245</v>
      </c>
      <c r="F1100" s="467">
        <v>0.03</v>
      </c>
      <c r="G1100" s="467" t="s">
        <v>321</v>
      </c>
      <c r="H1100" s="468">
        <v>0.05</v>
      </c>
      <c r="I1100" s="450">
        <v>0.03</v>
      </c>
      <c r="J1100" s="450" t="s">
        <v>322</v>
      </c>
      <c r="K1100" s="469">
        <v>100</v>
      </c>
      <c r="L1100" s="470">
        <v>1</v>
      </c>
      <c r="M1100" s="509"/>
    </row>
    <row r="1101" spans="1:13" ht="12.75">
      <c r="A1101" s="466" t="s">
        <v>318</v>
      </c>
      <c r="B1101" s="450" t="s">
        <v>371</v>
      </c>
      <c r="C1101" s="458" t="s">
        <v>126</v>
      </c>
      <c r="D1101" s="449">
        <v>38113</v>
      </c>
      <c r="E1101" s="450" t="s">
        <v>245</v>
      </c>
      <c r="F1101" s="467">
        <v>0.03</v>
      </c>
      <c r="G1101" s="467" t="s">
        <v>321</v>
      </c>
      <c r="H1101" s="468">
        <v>0.05</v>
      </c>
      <c r="I1101" s="450">
        <v>0.03</v>
      </c>
      <c r="J1101" s="450" t="s">
        <v>322</v>
      </c>
      <c r="K1101" s="469">
        <v>100</v>
      </c>
      <c r="L1101" s="470">
        <v>1</v>
      </c>
      <c r="M1101" s="509"/>
    </row>
    <row r="1102" spans="1:13" ht="12.75">
      <c r="A1102" s="466" t="s">
        <v>318</v>
      </c>
      <c r="B1102" s="450" t="s">
        <v>371</v>
      </c>
      <c r="C1102" s="458" t="s">
        <v>126</v>
      </c>
      <c r="D1102" s="449">
        <v>38273</v>
      </c>
      <c r="E1102" s="450" t="s">
        <v>245</v>
      </c>
      <c r="F1102" s="467">
        <v>0.03</v>
      </c>
      <c r="G1102" s="467" t="s">
        <v>321</v>
      </c>
      <c r="H1102" s="468">
        <v>0.05</v>
      </c>
      <c r="I1102" s="450">
        <v>0.03</v>
      </c>
      <c r="J1102" s="450" t="s">
        <v>322</v>
      </c>
      <c r="K1102" s="469">
        <v>100</v>
      </c>
      <c r="L1102" s="470">
        <v>1</v>
      </c>
      <c r="M1102" s="509"/>
    </row>
    <row r="1103" spans="1:13" ht="12.75">
      <c r="A1103" s="466" t="s">
        <v>318</v>
      </c>
      <c r="B1103" s="450" t="s">
        <v>371</v>
      </c>
      <c r="C1103" s="458" t="s">
        <v>126</v>
      </c>
      <c r="D1103" s="449">
        <v>38477</v>
      </c>
      <c r="E1103" s="450" t="s">
        <v>245</v>
      </c>
      <c r="F1103" s="467">
        <v>0.029</v>
      </c>
      <c r="G1103" s="467" t="s">
        <v>321</v>
      </c>
      <c r="H1103" s="468">
        <v>0.05</v>
      </c>
      <c r="I1103" s="450">
        <v>0.029</v>
      </c>
      <c r="J1103" s="450" t="s">
        <v>322</v>
      </c>
      <c r="K1103" s="469">
        <v>100</v>
      </c>
      <c r="L1103" s="470">
        <v>1</v>
      </c>
      <c r="M1103" s="509"/>
    </row>
    <row r="1104" spans="1:13" ht="12.75">
      <c r="A1104" s="466" t="s">
        <v>318</v>
      </c>
      <c r="B1104" s="450" t="s">
        <v>371</v>
      </c>
      <c r="C1104" s="458" t="s">
        <v>126</v>
      </c>
      <c r="D1104" s="449">
        <v>38638</v>
      </c>
      <c r="E1104" s="450" t="s">
        <v>245</v>
      </c>
      <c r="F1104" s="467">
        <v>0.03</v>
      </c>
      <c r="G1104" s="467" t="s">
        <v>321</v>
      </c>
      <c r="H1104" s="468">
        <v>0.05</v>
      </c>
      <c r="I1104" s="450">
        <v>0.03</v>
      </c>
      <c r="J1104" s="450" t="s">
        <v>322</v>
      </c>
      <c r="K1104" s="469">
        <v>100</v>
      </c>
      <c r="L1104" s="470">
        <v>1</v>
      </c>
      <c r="M1104" s="509"/>
    </row>
    <row r="1105" spans="1:13" ht="12.75">
      <c r="A1105" s="466" t="s">
        <v>318</v>
      </c>
      <c r="B1105" s="450" t="s">
        <v>359</v>
      </c>
      <c r="C1105" s="458" t="s">
        <v>411</v>
      </c>
      <c r="D1105" s="449">
        <v>37173</v>
      </c>
      <c r="E1105" s="450" t="s">
        <v>245</v>
      </c>
      <c r="F1105" s="467">
        <v>0.3</v>
      </c>
      <c r="G1105" s="467" t="s">
        <v>321</v>
      </c>
      <c r="H1105" s="468">
        <v>5</v>
      </c>
      <c r="I1105" s="450">
        <v>0.3</v>
      </c>
      <c r="J1105" s="450" t="s">
        <v>322</v>
      </c>
      <c r="K1105" s="469">
        <v>101</v>
      </c>
      <c r="L1105" s="470">
        <v>1</v>
      </c>
      <c r="M1105" s="509"/>
    </row>
    <row r="1106" spans="1:13" ht="12.75">
      <c r="A1106" s="466" t="s">
        <v>318</v>
      </c>
      <c r="B1106" s="450" t="s">
        <v>359</v>
      </c>
      <c r="C1106" s="458" t="s">
        <v>411</v>
      </c>
      <c r="D1106" s="449">
        <v>37386</v>
      </c>
      <c r="E1106" s="450" t="s">
        <v>245</v>
      </c>
      <c r="F1106" s="467">
        <v>0.3</v>
      </c>
      <c r="G1106" s="467" t="s">
        <v>321</v>
      </c>
      <c r="H1106" s="468">
        <v>5</v>
      </c>
      <c r="I1106" s="450">
        <v>0.3</v>
      </c>
      <c r="J1106" s="450" t="s">
        <v>322</v>
      </c>
      <c r="K1106" s="469">
        <v>101</v>
      </c>
      <c r="L1106" s="470">
        <v>1</v>
      </c>
      <c r="M1106" s="509"/>
    </row>
    <row r="1107" spans="1:13" ht="12.75">
      <c r="A1107" s="466" t="s">
        <v>318</v>
      </c>
      <c r="B1107" s="450" t="s">
        <v>359</v>
      </c>
      <c r="C1107" s="458" t="s">
        <v>411</v>
      </c>
      <c r="D1107" s="449">
        <v>37537</v>
      </c>
      <c r="E1107" s="450" t="s">
        <v>245</v>
      </c>
      <c r="F1107" s="467">
        <v>0.6</v>
      </c>
      <c r="G1107" s="467" t="s">
        <v>321</v>
      </c>
      <c r="H1107" s="468">
        <v>5</v>
      </c>
      <c r="I1107" s="450">
        <v>0.6</v>
      </c>
      <c r="J1107" s="450" t="s">
        <v>322</v>
      </c>
      <c r="K1107" s="469">
        <v>101</v>
      </c>
      <c r="L1107" s="470">
        <v>1</v>
      </c>
      <c r="M1107" s="509"/>
    </row>
    <row r="1108" spans="1:13" ht="12.75">
      <c r="A1108" s="466" t="s">
        <v>318</v>
      </c>
      <c r="B1108" s="450" t="s">
        <v>359</v>
      </c>
      <c r="C1108" s="458" t="s">
        <v>411</v>
      </c>
      <c r="D1108" s="449">
        <v>37743</v>
      </c>
      <c r="E1108" s="450" t="s">
        <v>245</v>
      </c>
      <c r="F1108" s="467">
        <v>0.6</v>
      </c>
      <c r="G1108" s="467" t="s">
        <v>321</v>
      </c>
      <c r="H1108" s="468">
        <v>5</v>
      </c>
      <c r="I1108" s="450">
        <v>0.6</v>
      </c>
      <c r="J1108" s="450" t="s">
        <v>322</v>
      </c>
      <c r="K1108" s="469">
        <v>101</v>
      </c>
      <c r="L1108" s="470">
        <v>1</v>
      </c>
      <c r="M1108" s="509"/>
    </row>
    <row r="1109" spans="1:13" ht="12.75">
      <c r="A1109" s="466" t="s">
        <v>318</v>
      </c>
      <c r="B1109" s="450" t="s">
        <v>359</v>
      </c>
      <c r="C1109" s="458" t="s">
        <v>411</v>
      </c>
      <c r="D1109" s="449">
        <v>37897</v>
      </c>
      <c r="E1109" s="450" t="s">
        <v>245</v>
      </c>
      <c r="F1109" s="467">
        <v>0.6</v>
      </c>
      <c r="G1109" s="467" t="s">
        <v>321</v>
      </c>
      <c r="H1109" s="468">
        <v>5</v>
      </c>
      <c r="I1109" s="450">
        <v>0.6</v>
      </c>
      <c r="J1109" s="450" t="s">
        <v>322</v>
      </c>
      <c r="K1109" s="469">
        <v>101</v>
      </c>
      <c r="L1109" s="470">
        <v>1</v>
      </c>
      <c r="M1109" s="509"/>
    </row>
    <row r="1110" spans="1:13" ht="12.75">
      <c r="A1110" s="466" t="s">
        <v>318</v>
      </c>
      <c r="B1110" s="450" t="s">
        <v>359</v>
      </c>
      <c r="C1110" s="458" t="s">
        <v>411</v>
      </c>
      <c r="D1110" s="449">
        <v>38113</v>
      </c>
      <c r="E1110" s="450" t="s">
        <v>245</v>
      </c>
      <c r="F1110" s="467">
        <v>0.6</v>
      </c>
      <c r="G1110" s="467" t="s">
        <v>321</v>
      </c>
      <c r="H1110" s="468">
        <v>5</v>
      </c>
      <c r="I1110" s="450">
        <v>0.6</v>
      </c>
      <c r="J1110" s="450" t="s">
        <v>322</v>
      </c>
      <c r="K1110" s="469">
        <v>101</v>
      </c>
      <c r="L1110" s="470">
        <v>1</v>
      </c>
      <c r="M1110" s="509"/>
    </row>
    <row r="1111" spans="1:13" ht="12.75">
      <c r="A1111" s="466" t="s">
        <v>318</v>
      </c>
      <c r="B1111" s="450" t="s">
        <v>359</v>
      </c>
      <c r="C1111" s="458" t="s">
        <v>411</v>
      </c>
      <c r="D1111" s="449">
        <v>38273</v>
      </c>
      <c r="E1111" s="450" t="s">
        <v>245</v>
      </c>
      <c r="F1111" s="467">
        <v>1.3</v>
      </c>
      <c r="G1111" s="467" t="s">
        <v>321</v>
      </c>
      <c r="H1111" s="468">
        <v>5</v>
      </c>
      <c r="I1111" s="450">
        <v>1.3</v>
      </c>
      <c r="J1111" s="450" t="s">
        <v>322</v>
      </c>
      <c r="K1111" s="469">
        <v>101</v>
      </c>
      <c r="L1111" s="470">
        <v>1</v>
      </c>
      <c r="M1111" s="509"/>
    </row>
    <row r="1112" spans="1:13" ht="12.75">
      <c r="A1112" s="466" t="s">
        <v>318</v>
      </c>
      <c r="B1112" s="450" t="s">
        <v>359</v>
      </c>
      <c r="C1112" s="458" t="s">
        <v>411</v>
      </c>
      <c r="D1112" s="449">
        <v>38477</v>
      </c>
      <c r="E1112" s="450" t="s">
        <v>245</v>
      </c>
      <c r="F1112" s="467">
        <v>1.2</v>
      </c>
      <c r="G1112" s="467" t="s">
        <v>321</v>
      </c>
      <c r="H1112" s="468">
        <v>5</v>
      </c>
      <c r="I1112" s="450">
        <v>1.2</v>
      </c>
      <c r="J1112" s="450" t="s">
        <v>322</v>
      </c>
      <c r="K1112" s="469">
        <v>101</v>
      </c>
      <c r="L1112" s="470">
        <v>1</v>
      </c>
      <c r="M1112" s="509"/>
    </row>
    <row r="1113" spans="1:13" ht="12.75">
      <c r="A1113" s="466" t="s">
        <v>318</v>
      </c>
      <c r="B1113" s="450" t="s">
        <v>359</v>
      </c>
      <c r="C1113" s="458" t="s">
        <v>411</v>
      </c>
      <c r="D1113" s="449">
        <v>38638</v>
      </c>
      <c r="E1113" s="450" t="s">
        <v>245</v>
      </c>
      <c r="F1113" s="467">
        <v>1.3</v>
      </c>
      <c r="G1113" s="467" t="s">
        <v>321</v>
      </c>
      <c r="H1113" s="468">
        <v>5</v>
      </c>
      <c r="I1113" s="450">
        <v>1.3</v>
      </c>
      <c r="J1113" s="450" t="s">
        <v>322</v>
      </c>
      <c r="K1113" s="469">
        <v>101</v>
      </c>
      <c r="L1113" s="470">
        <v>1</v>
      </c>
      <c r="M1113" s="509"/>
    </row>
    <row r="1114" spans="1:13" ht="12.75">
      <c r="A1114" s="466" t="s">
        <v>318</v>
      </c>
      <c r="B1114" s="450" t="s">
        <v>412</v>
      </c>
      <c r="C1114" s="458" t="s">
        <v>128</v>
      </c>
      <c r="D1114" s="449">
        <v>37173</v>
      </c>
      <c r="E1114" s="450" t="s">
        <v>245</v>
      </c>
      <c r="F1114" s="467">
        <v>0.003</v>
      </c>
      <c r="G1114" s="467" t="s">
        <v>321</v>
      </c>
      <c r="H1114" s="468">
        <v>0.005</v>
      </c>
      <c r="I1114" s="450">
        <v>0.003</v>
      </c>
      <c r="J1114" s="450" t="s">
        <v>322</v>
      </c>
      <c r="K1114" s="469">
        <v>102</v>
      </c>
      <c r="L1114" s="470">
        <v>1</v>
      </c>
      <c r="M1114" s="509"/>
    </row>
    <row r="1115" spans="1:13" ht="12.75">
      <c r="A1115" s="466" t="s">
        <v>318</v>
      </c>
      <c r="B1115" s="450" t="s">
        <v>412</v>
      </c>
      <c r="C1115" s="458" t="s">
        <v>128</v>
      </c>
      <c r="D1115" s="449">
        <v>37386</v>
      </c>
      <c r="E1115" s="450" t="s">
        <v>245</v>
      </c>
      <c r="F1115" s="467">
        <v>0.003</v>
      </c>
      <c r="G1115" s="467" t="s">
        <v>321</v>
      </c>
      <c r="H1115" s="468">
        <v>0.005</v>
      </c>
      <c r="I1115" s="450">
        <v>0.003</v>
      </c>
      <c r="J1115" s="450" t="s">
        <v>322</v>
      </c>
      <c r="K1115" s="469">
        <v>102</v>
      </c>
      <c r="L1115" s="470">
        <v>1</v>
      </c>
      <c r="M1115" s="509"/>
    </row>
    <row r="1116" spans="1:13" ht="12.75">
      <c r="A1116" s="466" t="s">
        <v>318</v>
      </c>
      <c r="B1116" s="450" t="s">
        <v>412</v>
      </c>
      <c r="C1116" s="458" t="s">
        <v>128</v>
      </c>
      <c r="D1116" s="449">
        <v>37537</v>
      </c>
      <c r="E1116" s="450" t="s">
        <v>245</v>
      </c>
      <c r="F1116" s="467">
        <v>0.003</v>
      </c>
      <c r="G1116" s="467" t="s">
        <v>321</v>
      </c>
      <c r="H1116" s="468">
        <v>0.005</v>
      </c>
      <c r="I1116" s="450">
        <v>0.003</v>
      </c>
      <c r="J1116" s="450" t="s">
        <v>322</v>
      </c>
      <c r="K1116" s="469">
        <v>102</v>
      </c>
      <c r="L1116" s="470">
        <v>1</v>
      </c>
      <c r="M1116" s="509"/>
    </row>
    <row r="1117" spans="1:13" ht="12.75">
      <c r="A1117" s="466" t="s">
        <v>318</v>
      </c>
      <c r="B1117" s="450" t="s">
        <v>412</v>
      </c>
      <c r="C1117" s="458" t="s">
        <v>128</v>
      </c>
      <c r="D1117" s="449">
        <v>37743</v>
      </c>
      <c r="E1117" s="450" t="s">
        <v>245</v>
      </c>
      <c r="F1117" s="467">
        <v>0.003</v>
      </c>
      <c r="G1117" s="467" t="s">
        <v>321</v>
      </c>
      <c r="H1117" s="468">
        <v>0.005</v>
      </c>
      <c r="I1117" s="450">
        <v>0.003</v>
      </c>
      <c r="J1117" s="450" t="s">
        <v>322</v>
      </c>
      <c r="K1117" s="469">
        <v>102</v>
      </c>
      <c r="L1117" s="470">
        <v>1</v>
      </c>
      <c r="M1117" s="509"/>
    </row>
    <row r="1118" spans="1:13" ht="12.75">
      <c r="A1118" s="466" t="s">
        <v>318</v>
      </c>
      <c r="B1118" s="450" t="s">
        <v>412</v>
      </c>
      <c r="C1118" s="458" t="s">
        <v>128</v>
      </c>
      <c r="D1118" s="449">
        <v>37897</v>
      </c>
      <c r="E1118" s="450" t="s">
        <v>245</v>
      </c>
      <c r="F1118" s="467">
        <v>0.003</v>
      </c>
      <c r="G1118" s="467" t="s">
        <v>321</v>
      </c>
      <c r="H1118" s="468">
        <v>0.005</v>
      </c>
      <c r="I1118" s="450">
        <v>0.003</v>
      </c>
      <c r="J1118" s="450" t="s">
        <v>322</v>
      </c>
      <c r="K1118" s="469">
        <v>102</v>
      </c>
      <c r="L1118" s="470">
        <v>1</v>
      </c>
      <c r="M1118" s="509"/>
    </row>
    <row r="1119" spans="1:13" ht="12.75">
      <c r="A1119" s="466" t="s">
        <v>318</v>
      </c>
      <c r="B1119" s="450" t="s">
        <v>412</v>
      </c>
      <c r="C1119" s="458" t="s">
        <v>128</v>
      </c>
      <c r="D1119" s="449">
        <v>38113</v>
      </c>
      <c r="E1119" s="450" t="s">
        <v>245</v>
      </c>
      <c r="F1119" s="467">
        <v>0.003</v>
      </c>
      <c r="G1119" s="467" t="s">
        <v>321</v>
      </c>
      <c r="H1119" s="468">
        <v>0.005</v>
      </c>
      <c r="I1119" s="450">
        <v>0.003</v>
      </c>
      <c r="J1119" s="450" t="s">
        <v>322</v>
      </c>
      <c r="K1119" s="469">
        <v>102</v>
      </c>
      <c r="L1119" s="470">
        <v>1</v>
      </c>
      <c r="M1119" s="509"/>
    </row>
    <row r="1120" spans="1:13" ht="12.75">
      <c r="A1120" s="466" t="s">
        <v>318</v>
      </c>
      <c r="B1120" s="450" t="s">
        <v>412</v>
      </c>
      <c r="C1120" s="458" t="s">
        <v>128</v>
      </c>
      <c r="D1120" s="449">
        <v>38273</v>
      </c>
      <c r="E1120" s="450" t="s">
        <v>245</v>
      </c>
      <c r="F1120" s="467">
        <v>0.003</v>
      </c>
      <c r="G1120" s="467" t="s">
        <v>321</v>
      </c>
      <c r="H1120" s="468">
        <v>0.005</v>
      </c>
      <c r="I1120" s="450">
        <v>0.003</v>
      </c>
      <c r="J1120" s="450" t="s">
        <v>322</v>
      </c>
      <c r="K1120" s="469">
        <v>102</v>
      </c>
      <c r="L1120" s="470">
        <v>1</v>
      </c>
      <c r="M1120" s="509"/>
    </row>
    <row r="1121" spans="1:13" ht="12.75">
      <c r="A1121" s="466" t="s">
        <v>318</v>
      </c>
      <c r="B1121" s="450" t="s">
        <v>412</v>
      </c>
      <c r="C1121" s="458" t="s">
        <v>128</v>
      </c>
      <c r="D1121" s="449">
        <v>38477</v>
      </c>
      <c r="E1121" s="450" t="s">
        <v>245</v>
      </c>
      <c r="F1121" s="467">
        <v>0.0029</v>
      </c>
      <c r="G1121" s="467" t="s">
        <v>321</v>
      </c>
      <c r="H1121" s="468">
        <v>0.005</v>
      </c>
      <c r="I1121" s="450">
        <v>0.0029</v>
      </c>
      <c r="J1121" s="450" t="s">
        <v>322</v>
      </c>
      <c r="K1121" s="469">
        <v>102</v>
      </c>
      <c r="L1121" s="470">
        <v>1</v>
      </c>
      <c r="M1121" s="509"/>
    </row>
    <row r="1122" spans="1:13" ht="12.75">
      <c r="A1122" s="466" t="s">
        <v>318</v>
      </c>
      <c r="B1122" s="450" t="s">
        <v>412</v>
      </c>
      <c r="C1122" s="458" t="s">
        <v>128</v>
      </c>
      <c r="D1122" s="449">
        <v>38638</v>
      </c>
      <c r="E1122" s="450" t="s">
        <v>245</v>
      </c>
      <c r="F1122" s="467">
        <v>0.002</v>
      </c>
      <c r="G1122" s="467" t="s">
        <v>321</v>
      </c>
      <c r="H1122" s="468">
        <v>0.005</v>
      </c>
      <c r="I1122" s="450">
        <v>0.002</v>
      </c>
      <c r="J1122" s="450" t="s">
        <v>322</v>
      </c>
      <c r="K1122" s="469">
        <v>102</v>
      </c>
      <c r="L1122" s="470">
        <v>1</v>
      </c>
      <c r="M1122" s="509"/>
    </row>
    <row r="1123" spans="1:13" ht="12.75">
      <c r="A1123" s="466" t="s">
        <v>318</v>
      </c>
      <c r="B1123" s="450" t="s">
        <v>412</v>
      </c>
      <c r="C1123" s="458" t="s">
        <v>413</v>
      </c>
      <c r="D1123" s="449">
        <v>37173</v>
      </c>
      <c r="E1123" s="450" t="s">
        <v>245</v>
      </c>
      <c r="F1123" s="467">
        <v>0.002</v>
      </c>
      <c r="G1123" s="467" t="s">
        <v>321</v>
      </c>
      <c r="H1123" s="468">
        <v>0.01</v>
      </c>
      <c r="I1123" s="450">
        <v>0.002</v>
      </c>
      <c r="J1123" s="450" t="s">
        <v>322</v>
      </c>
      <c r="K1123" s="469">
        <v>103</v>
      </c>
      <c r="L1123" s="470">
        <v>1</v>
      </c>
      <c r="M1123" s="509"/>
    </row>
    <row r="1124" spans="1:13" ht="12.75">
      <c r="A1124" s="466" t="s">
        <v>318</v>
      </c>
      <c r="B1124" s="450" t="s">
        <v>412</v>
      </c>
      <c r="C1124" s="458" t="s">
        <v>413</v>
      </c>
      <c r="D1124" s="449">
        <v>37386</v>
      </c>
      <c r="E1124" s="450" t="s">
        <v>245</v>
      </c>
      <c r="F1124" s="467">
        <v>0.002</v>
      </c>
      <c r="G1124" s="467" t="s">
        <v>321</v>
      </c>
      <c r="H1124" s="468">
        <v>0.01</v>
      </c>
      <c r="I1124" s="450">
        <v>0.002</v>
      </c>
      <c r="J1124" s="450" t="s">
        <v>322</v>
      </c>
      <c r="K1124" s="469">
        <v>103</v>
      </c>
      <c r="L1124" s="470">
        <v>1</v>
      </c>
      <c r="M1124" s="509"/>
    </row>
    <row r="1125" spans="1:13" ht="12.75">
      <c r="A1125" s="466" t="s">
        <v>318</v>
      </c>
      <c r="B1125" s="450" t="s">
        <v>412</v>
      </c>
      <c r="C1125" s="458" t="s">
        <v>413</v>
      </c>
      <c r="D1125" s="449">
        <v>37537</v>
      </c>
      <c r="E1125" s="450" t="s">
        <v>245</v>
      </c>
      <c r="F1125" s="467">
        <v>0.003</v>
      </c>
      <c r="G1125" s="467" t="s">
        <v>321</v>
      </c>
      <c r="H1125" s="468">
        <v>0.01</v>
      </c>
      <c r="I1125" s="450">
        <v>0.003</v>
      </c>
      <c r="J1125" s="450" t="s">
        <v>322</v>
      </c>
      <c r="K1125" s="469">
        <v>103</v>
      </c>
      <c r="L1125" s="470">
        <v>1</v>
      </c>
      <c r="M1125" s="509"/>
    </row>
    <row r="1126" spans="1:13" ht="12.75">
      <c r="A1126" s="466" t="s">
        <v>318</v>
      </c>
      <c r="B1126" s="450" t="s">
        <v>412</v>
      </c>
      <c r="C1126" s="458" t="s">
        <v>413</v>
      </c>
      <c r="D1126" s="449">
        <v>37743</v>
      </c>
      <c r="E1126" s="450" t="s">
        <v>245</v>
      </c>
      <c r="F1126" s="467">
        <v>0.003</v>
      </c>
      <c r="G1126" s="467" t="s">
        <v>321</v>
      </c>
      <c r="H1126" s="468">
        <v>0.01</v>
      </c>
      <c r="I1126" s="450">
        <v>0.003</v>
      </c>
      <c r="J1126" s="450" t="s">
        <v>322</v>
      </c>
      <c r="K1126" s="469">
        <v>103</v>
      </c>
      <c r="L1126" s="470">
        <v>1</v>
      </c>
      <c r="M1126" s="509"/>
    </row>
    <row r="1127" spans="1:13" ht="12.75">
      <c r="A1127" s="466" t="s">
        <v>318</v>
      </c>
      <c r="B1127" s="450" t="s">
        <v>412</v>
      </c>
      <c r="C1127" s="458" t="s">
        <v>413</v>
      </c>
      <c r="D1127" s="449">
        <v>37897</v>
      </c>
      <c r="E1127" s="450" t="s">
        <v>245</v>
      </c>
      <c r="F1127" s="467">
        <v>0.003</v>
      </c>
      <c r="G1127" s="467" t="s">
        <v>321</v>
      </c>
      <c r="H1127" s="468">
        <v>0.01</v>
      </c>
      <c r="I1127" s="450">
        <v>0.003</v>
      </c>
      <c r="J1127" s="450" t="s">
        <v>322</v>
      </c>
      <c r="K1127" s="469">
        <v>103</v>
      </c>
      <c r="L1127" s="470">
        <v>1</v>
      </c>
      <c r="M1127" s="509"/>
    </row>
    <row r="1128" spans="1:13" ht="12.75">
      <c r="A1128" s="466" t="s">
        <v>318</v>
      </c>
      <c r="B1128" s="450" t="s">
        <v>412</v>
      </c>
      <c r="C1128" s="458" t="s">
        <v>413</v>
      </c>
      <c r="D1128" s="449">
        <v>38113</v>
      </c>
      <c r="E1128" s="450" t="s">
        <v>245</v>
      </c>
      <c r="F1128" s="467">
        <v>0.003</v>
      </c>
      <c r="G1128" s="467" t="s">
        <v>321</v>
      </c>
      <c r="H1128" s="468">
        <v>0.01</v>
      </c>
      <c r="I1128" s="450">
        <v>0.003</v>
      </c>
      <c r="J1128" s="450" t="s">
        <v>322</v>
      </c>
      <c r="K1128" s="469">
        <v>103</v>
      </c>
      <c r="L1128" s="470">
        <v>1</v>
      </c>
      <c r="M1128" s="509"/>
    </row>
    <row r="1129" spans="1:13" ht="12.75">
      <c r="A1129" s="466" t="s">
        <v>318</v>
      </c>
      <c r="B1129" s="450" t="s">
        <v>412</v>
      </c>
      <c r="C1129" s="458" t="s">
        <v>413</v>
      </c>
      <c r="D1129" s="449">
        <v>38273</v>
      </c>
      <c r="E1129" s="450" t="s">
        <v>245</v>
      </c>
      <c r="F1129" s="467">
        <v>0.003</v>
      </c>
      <c r="G1129" s="467" t="s">
        <v>321</v>
      </c>
      <c r="H1129" s="468">
        <v>0.01</v>
      </c>
      <c r="I1129" s="450">
        <v>0.003</v>
      </c>
      <c r="J1129" s="450" t="s">
        <v>322</v>
      </c>
      <c r="K1129" s="469">
        <v>103</v>
      </c>
      <c r="L1129" s="470">
        <v>1</v>
      </c>
      <c r="M1129" s="509"/>
    </row>
    <row r="1130" spans="1:13" ht="12.75">
      <c r="A1130" s="466" t="s">
        <v>318</v>
      </c>
      <c r="B1130" s="450" t="s">
        <v>412</v>
      </c>
      <c r="C1130" s="458" t="s">
        <v>413</v>
      </c>
      <c r="D1130" s="449">
        <v>38477</v>
      </c>
      <c r="E1130" s="450" t="s">
        <v>245</v>
      </c>
      <c r="F1130" s="467">
        <v>0.0029</v>
      </c>
      <c r="G1130" s="467" t="s">
        <v>321</v>
      </c>
      <c r="H1130" s="468">
        <v>0.01</v>
      </c>
      <c r="I1130" s="450">
        <v>0.0029</v>
      </c>
      <c r="J1130" s="450" t="s">
        <v>322</v>
      </c>
      <c r="K1130" s="469">
        <v>103</v>
      </c>
      <c r="L1130" s="470">
        <v>1</v>
      </c>
      <c r="M1130" s="509"/>
    </row>
    <row r="1131" spans="1:13" ht="12.75">
      <c r="A1131" s="466" t="s">
        <v>318</v>
      </c>
      <c r="B1131" s="450" t="s">
        <v>412</v>
      </c>
      <c r="C1131" s="458" t="s">
        <v>413</v>
      </c>
      <c r="D1131" s="449">
        <v>38638</v>
      </c>
      <c r="E1131" s="450" t="s">
        <v>245</v>
      </c>
      <c r="F1131" s="467">
        <v>0.003</v>
      </c>
      <c r="G1131" s="467" t="s">
        <v>321</v>
      </c>
      <c r="H1131" s="468">
        <v>0.01</v>
      </c>
      <c r="I1131" s="450">
        <v>0.003</v>
      </c>
      <c r="J1131" s="450" t="s">
        <v>322</v>
      </c>
      <c r="K1131" s="469">
        <v>103</v>
      </c>
      <c r="L1131" s="470">
        <v>1</v>
      </c>
      <c r="M1131" s="509"/>
    </row>
    <row r="1132" spans="1:13" ht="12.75">
      <c r="A1132" s="466" t="s">
        <v>318</v>
      </c>
      <c r="B1132" s="450" t="s">
        <v>412</v>
      </c>
      <c r="C1132" s="458" t="s">
        <v>414</v>
      </c>
      <c r="D1132" s="449">
        <v>37173</v>
      </c>
      <c r="E1132" s="450" t="s">
        <v>245</v>
      </c>
      <c r="F1132" s="467">
        <v>0.001</v>
      </c>
      <c r="G1132" s="467" t="s">
        <v>321</v>
      </c>
      <c r="H1132" s="468">
        <v>0.005</v>
      </c>
      <c r="I1132" s="450">
        <v>0.001</v>
      </c>
      <c r="J1132" s="450" t="s">
        <v>322</v>
      </c>
      <c r="K1132" s="469">
        <v>104</v>
      </c>
      <c r="L1132" s="470">
        <v>1</v>
      </c>
      <c r="M1132" s="509"/>
    </row>
    <row r="1133" spans="1:13" ht="12.75">
      <c r="A1133" s="466" t="s">
        <v>318</v>
      </c>
      <c r="B1133" s="450" t="s">
        <v>412</v>
      </c>
      <c r="C1133" s="458" t="s">
        <v>414</v>
      </c>
      <c r="D1133" s="449">
        <v>37386</v>
      </c>
      <c r="E1133" s="450" t="s">
        <v>245</v>
      </c>
      <c r="F1133" s="467">
        <v>0.001</v>
      </c>
      <c r="G1133" s="467" t="s">
        <v>321</v>
      </c>
      <c r="H1133" s="468">
        <v>0.005</v>
      </c>
      <c r="I1133" s="450">
        <v>0.001</v>
      </c>
      <c r="J1133" s="450" t="s">
        <v>322</v>
      </c>
      <c r="K1133" s="469">
        <v>104</v>
      </c>
      <c r="L1133" s="470">
        <v>1</v>
      </c>
      <c r="M1133" s="509"/>
    </row>
    <row r="1134" spans="1:13" ht="12.75">
      <c r="A1134" s="466" t="s">
        <v>318</v>
      </c>
      <c r="B1134" s="450" t="s">
        <v>412</v>
      </c>
      <c r="C1134" s="458" t="s">
        <v>414</v>
      </c>
      <c r="D1134" s="449">
        <v>37537</v>
      </c>
      <c r="E1134" s="450" t="s">
        <v>245</v>
      </c>
      <c r="F1134" s="467">
        <v>0.004</v>
      </c>
      <c r="G1134" s="467" t="s">
        <v>321</v>
      </c>
      <c r="H1134" s="468">
        <v>0.005</v>
      </c>
      <c r="I1134" s="450">
        <v>0.004</v>
      </c>
      <c r="J1134" s="450" t="s">
        <v>322</v>
      </c>
      <c r="K1134" s="469">
        <v>104</v>
      </c>
      <c r="L1134" s="470">
        <v>1</v>
      </c>
      <c r="M1134" s="509"/>
    </row>
    <row r="1135" spans="1:13" ht="12.75">
      <c r="A1135" s="466" t="s">
        <v>318</v>
      </c>
      <c r="B1135" s="450" t="s">
        <v>412</v>
      </c>
      <c r="C1135" s="458" t="s">
        <v>414</v>
      </c>
      <c r="D1135" s="449">
        <v>37743</v>
      </c>
      <c r="E1135" s="450" t="s">
        <v>245</v>
      </c>
      <c r="F1135" s="467">
        <v>0.004</v>
      </c>
      <c r="G1135" s="467" t="s">
        <v>321</v>
      </c>
      <c r="H1135" s="468">
        <v>0.005</v>
      </c>
      <c r="I1135" s="450">
        <v>0.004</v>
      </c>
      <c r="J1135" s="450" t="s">
        <v>322</v>
      </c>
      <c r="K1135" s="469">
        <v>104</v>
      </c>
      <c r="L1135" s="470">
        <v>1</v>
      </c>
      <c r="M1135" s="509"/>
    </row>
    <row r="1136" spans="1:13" ht="12.75">
      <c r="A1136" s="466" t="s">
        <v>318</v>
      </c>
      <c r="B1136" s="450" t="s">
        <v>412</v>
      </c>
      <c r="C1136" s="458" t="s">
        <v>414</v>
      </c>
      <c r="D1136" s="449">
        <v>37897</v>
      </c>
      <c r="E1136" s="450" t="s">
        <v>245</v>
      </c>
      <c r="F1136" s="467">
        <v>0.004</v>
      </c>
      <c r="G1136" s="467" t="s">
        <v>321</v>
      </c>
      <c r="H1136" s="468">
        <v>0.005</v>
      </c>
      <c r="I1136" s="450">
        <v>0.004</v>
      </c>
      <c r="J1136" s="450" t="s">
        <v>322</v>
      </c>
      <c r="K1136" s="469">
        <v>104</v>
      </c>
      <c r="L1136" s="470">
        <v>1</v>
      </c>
      <c r="M1136" s="509"/>
    </row>
    <row r="1137" spans="1:13" ht="12.75">
      <c r="A1137" s="466" t="s">
        <v>318</v>
      </c>
      <c r="B1137" s="450" t="s">
        <v>412</v>
      </c>
      <c r="C1137" s="458" t="s">
        <v>414</v>
      </c>
      <c r="D1137" s="449">
        <v>38113</v>
      </c>
      <c r="E1137" s="450" t="s">
        <v>245</v>
      </c>
      <c r="F1137" s="467">
        <v>0.004</v>
      </c>
      <c r="G1137" s="467" t="s">
        <v>321</v>
      </c>
      <c r="H1137" s="468">
        <v>0.005</v>
      </c>
      <c r="I1137" s="450">
        <v>0.004</v>
      </c>
      <c r="J1137" s="450" t="s">
        <v>322</v>
      </c>
      <c r="K1137" s="469">
        <v>104</v>
      </c>
      <c r="L1137" s="470">
        <v>1</v>
      </c>
      <c r="M1137" s="509"/>
    </row>
    <row r="1138" spans="1:13" ht="12.75">
      <c r="A1138" s="466" t="s">
        <v>318</v>
      </c>
      <c r="B1138" s="450" t="s">
        <v>412</v>
      </c>
      <c r="C1138" s="458" t="s">
        <v>414</v>
      </c>
      <c r="D1138" s="449">
        <v>38273</v>
      </c>
      <c r="E1138" s="450" t="s">
        <v>245</v>
      </c>
      <c r="F1138" s="467">
        <v>0.003</v>
      </c>
      <c r="G1138" s="467" t="s">
        <v>321</v>
      </c>
      <c r="H1138" s="468">
        <v>0.005</v>
      </c>
      <c r="I1138" s="450">
        <v>0.003</v>
      </c>
      <c r="J1138" s="450" t="s">
        <v>322</v>
      </c>
      <c r="K1138" s="469">
        <v>104</v>
      </c>
      <c r="L1138" s="470">
        <v>1</v>
      </c>
      <c r="M1138" s="509"/>
    </row>
    <row r="1139" spans="1:13" ht="12.75">
      <c r="A1139" s="466" t="s">
        <v>318</v>
      </c>
      <c r="B1139" s="450" t="s">
        <v>412</v>
      </c>
      <c r="C1139" s="458" t="s">
        <v>414</v>
      </c>
      <c r="D1139" s="449">
        <v>38477</v>
      </c>
      <c r="E1139" s="450" t="s">
        <v>245</v>
      </c>
      <c r="F1139" s="467">
        <v>0.0029</v>
      </c>
      <c r="G1139" s="467" t="s">
        <v>321</v>
      </c>
      <c r="H1139" s="468">
        <v>0.005</v>
      </c>
      <c r="I1139" s="450">
        <v>0.0029</v>
      </c>
      <c r="J1139" s="450" t="s">
        <v>322</v>
      </c>
      <c r="K1139" s="469">
        <v>104</v>
      </c>
      <c r="L1139" s="470">
        <v>1</v>
      </c>
      <c r="M1139" s="509"/>
    </row>
    <row r="1140" spans="1:13" ht="12.75">
      <c r="A1140" s="466" t="s">
        <v>318</v>
      </c>
      <c r="B1140" s="450" t="s">
        <v>412</v>
      </c>
      <c r="C1140" s="458" t="s">
        <v>414</v>
      </c>
      <c r="D1140" s="449">
        <v>38638</v>
      </c>
      <c r="E1140" s="450" t="s">
        <v>245</v>
      </c>
      <c r="F1140" s="467">
        <v>0.003</v>
      </c>
      <c r="G1140" s="467" t="s">
        <v>321</v>
      </c>
      <c r="H1140" s="468">
        <v>0.005</v>
      </c>
      <c r="I1140" s="450">
        <v>0.003</v>
      </c>
      <c r="J1140" s="450" t="s">
        <v>322</v>
      </c>
      <c r="K1140" s="469">
        <v>104</v>
      </c>
      <c r="L1140" s="470">
        <v>1</v>
      </c>
      <c r="M1140" s="509"/>
    </row>
    <row r="1141" spans="1:13" ht="12.75">
      <c r="A1141" s="466" t="s">
        <v>318</v>
      </c>
      <c r="B1141" s="450" t="s">
        <v>412</v>
      </c>
      <c r="C1141" s="458" t="s">
        <v>415</v>
      </c>
      <c r="D1141" s="449">
        <v>37173</v>
      </c>
      <c r="E1141" s="450" t="s">
        <v>245</v>
      </c>
      <c r="F1141" s="467">
        <v>0.001</v>
      </c>
      <c r="G1141" s="467" t="s">
        <v>321</v>
      </c>
      <c r="H1141" s="468">
        <v>0.01</v>
      </c>
      <c r="I1141" s="450">
        <v>0.001</v>
      </c>
      <c r="J1141" s="450" t="s">
        <v>322</v>
      </c>
      <c r="K1141" s="469">
        <v>105</v>
      </c>
      <c r="L1141" s="470">
        <v>1</v>
      </c>
      <c r="M1141" s="509"/>
    </row>
    <row r="1142" spans="1:13" ht="12.75">
      <c r="A1142" s="466" t="s">
        <v>318</v>
      </c>
      <c r="B1142" s="450" t="s">
        <v>412</v>
      </c>
      <c r="C1142" s="458" t="s">
        <v>415</v>
      </c>
      <c r="D1142" s="449">
        <v>37386</v>
      </c>
      <c r="E1142" s="450" t="s">
        <v>245</v>
      </c>
      <c r="F1142" s="467">
        <v>0.001</v>
      </c>
      <c r="G1142" s="467" t="s">
        <v>321</v>
      </c>
      <c r="H1142" s="468">
        <v>0.01</v>
      </c>
      <c r="I1142" s="450">
        <v>0.001</v>
      </c>
      <c r="J1142" s="450" t="s">
        <v>322</v>
      </c>
      <c r="K1142" s="469">
        <v>105</v>
      </c>
      <c r="L1142" s="470">
        <v>1</v>
      </c>
      <c r="M1142" s="509"/>
    </row>
    <row r="1143" spans="1:13" ht="12.75">
      <c r="A1143" s="466" t="s">
        <v>318</v>
      </c>
      <c r="B1143" s="450" t="s">
        <v>412</v>
      </c>
      <c r="C1143" s="458" t="s">
        <v>415</v>
      </c>
      <c r="D1143" s="449">
        <v>37537</v>
      </c>
      <c r="E1143" s="450" t="s">
        <v>245</v>
      </c>
      <c r="F1143" s="467">
        <v>0.003</v>
      </c>
      <c r="G1143" s="467" t="s">
        <v>321</v>
      </c>
      <c r="H1143" s="468">
        <v>0.01</v>
      </c>
      <c r="I1143" s="450">
        <v>0.003</v>
      </c>
      <c r="J1143" s="450" t="s">
        <v>322</v>
      </c>
      <c r="K1143" s="469">
        <v>105</v>
      </c>
      <c r="L1143" s="470">
        <v>1</v>
      </c>
      <c r="M1143" s="509"/>
    </row>
    <row r="1144" spans="1:13" ht="12.75">
      <c r="A1144" s="466" t="s">
        <v>318</v>
      </c>
      <c r="B1144" s="450" t="s">
        <v>412</v>
      </c>
      <c r="C1144" s="458" t="s">
        <v>415</v>
      </c>
      <c r="D1144" s="449">
        <v>37743</v>
      </c>
      <c r="E1144" s="450" t="s">
        <v>245</v>
      </c>
      <c r="F1144" s="467">
        <v>0.003</v>
      </c>
      <c r="G1144" s="467" t="s">
        <v>321</v>
      </c>
      <c r="H1144" s="468">
        <v>0.01</v>
      </c>
      <c r="I1144" s="450">
        <v>0.003</v>
      </c>
      <c r="J1144" s="450" t="s">
        <v>322</v>
      </c>
      <c r="K1144" s="469">
        <v>105</v>
      </c>
      <c r="L1144" s="470">
        <v>1</v>
      </c>
      <c r="M1144" s="509"/>
    </row>
    <row r="1145" spans="1:13" ht="12.75">
      <c r="A1145" s="466" t="s">
        <v>318</v>
      </c>
      <c r="B1145" s="450" t="s">
        <v>412</v>
      </c>
      <c r="C1145" s="458" t="s">
        <v>415</v>
      </c>
      <c r="D1145" s="449">
        <v>37897</v>
      </c>
      <c r="E1145" s="450" t="s">
        <v>245</v>
      </c>
      <c r="F1145" s="467">
        <v>0.003</v>
      </c>
      <c r="G1145" s="467" t="s">
        <v>321</v>
      </c>
      <c r="H1145" s="468">
        <v>0.01</v>
      </c>
      <c r="I1145" s="450">
        <v>0.003</v>
      </c>
      <c r="J1145" s="450" t="s">
        <v>322</v>
      </c>
      <c r="K1145" s="469">
        <v>105</v>
      </c>
      <c r="L1145" s="470">
        <v>1</v>
      </c>
      <c r="M1145" s="509"/>
    </row>
    <row r="1146" spans="1:13" ht="12.75">
      <c r="A1146" s="466" t="s">
        <v>318</v>
      </c>
      <c r="B1146" s="450" t="s">
        <v>412</v>
      </c>
      <c r="C1146" s="458" t="s">
        <v>415</v>
      </c>
      <c r="D1146" s="449">
        <v>38113</v>
      </c>
      <c r="E1146" s="450" t="s">
        <v>245</v>
      </c>
      <c r="F1146" s="467">
        <v>0.003</v>
      </c>
      <c r="G1146" s="467" t="s">
        <v>321</v>
      </c>
      <c r="H1146" s="468">
        <v>0.01</v>
      </c>
      <c r="I1146" s="450">
        <v>0.003</v>
      </c>
      <c r="J1146" s="450" t="s">
        <v>322</v>
      </c>
      <c r="K1146" s="469">
        <v>105</v>
      </c>
      <c r="L1146" s="470">
        <v>1</v>
      </c>
      <c r="M1146" s="509"/>
    </row>
    <row r="1147" spans="1:13" ht="12.75">
      <c r="A1147" s="466" t="s">
        <v>318</v>
      </c>
      <c r="B1147" s="450" t="s">
        <v>412</v>
      </c>
      <c r="C1147" s="458" t="s">
        <v>415</v>
      </c>
      <c r="D1147" s="449">
        <v>38273</v>
      </c>
      <c r="E1147" s="450" t="s">
        <v>245</v>
      </c>
      <c r="F1147" s="467">
        <v>0.003</v>
      </c>
      <c r="G1147" s="467" t="s">
        <v>321</v>
      </c>
      <c r="H1147" s="468">
        <v>0.01</v>
      </c>
      <c r="I1147" s="450">
        <v>0.003</v>
      </c>
      <c r="J1147" s="450" t="s">
        <v>322</v>
      </c>
      <c r="K1147" s="469">
        <v>105</v>
      </c>
      <c r="L1147" s="470">
        <v>1</v>
      </c>
      <c r="M1147" s="509"/>
    </row>
    <row r="1148" spans="1:13" ht="12.75">
      <c r="A1148" s="466" t="s">
        <v>318</v>
      </c>
      <c r="B1148" s="450" t="s">
        <v>412</v>
      </c>
      <c r="C1148" s="458" t="s">
        <v>415</v>
      </c>
      <c r="D1148" s="449">
        <v>38477</v>
      </c>
      <c r="E1148" s="450" t="s">
        <v>245</v>
      </c>
      <c r="F1148" s="467">
        <v>0.0029</v>
      </c>
      <c r="G1148" s="467" t="s">
        <v>321</v>
      </c>
      <c r="H1148" s="468">
        <v>0.01</v>
      </c>
      <c r="I1148" s="450">
        <v>0.0029</v>
      </c>
      <c r="J1148" s="450" t="s">
        <v>322</v>
      </c>
      <c r="K1148" s="469">
        <v>105</v>
      </c>
      <c r="L1148" s="470">
        <v>1</v>
      </c>
      <c r="M1148" s="509"/>
    </row>
    <row r="1149" spans="1:13" ht="12.75">
      <c r="A1149" s="466" t="s">
        <v>318</v>
      </c>
      <c r="B1149" s="450" t="s">
        <v>412</v>
      </c>
      <c r="C1149" s="458" t="s">
        <v>415</v>
      </c>
      <c r="D1149" s="449">
        <v>38638</v>
      </c>
      <c r="E1149" s="450" t="s">
        <v>245</v>
      </c>
      <c r="F1149" s="467">
        <v>0.002</v>
      </c>
      <c r="G1149" s="467" t="s">
        <v>321</v>
      </c>
      <c r="H1149" s="468">
        <v>0.01</v>
      </c>
      <c r="I1149" s="450">
        <v>0.002</v>
      </c>
      <c r="J1149" s="450" t="s">
        <v>322</v>
      </c>
      <c r="K1149" s="469">
        <v>105</v>
      </c>
      <c r="L1149" s="470">
        <v>1</v>
      </c>
      <c r="M1149" s="509"/>
    </row>
    <row r="1150" spans="1:13" ht="12.75">
      <c r="A1150" s="466" t="s">
        <v>318</v>
      </c>
      <c r="B1150" s="450" t="s">
        <v>412</v>
      </c>
      <c r="C1150" s="458" t="s">
        <v>416</v>
      </c>
      <c r="D1150" s="449">
        <v>37173</v>
      </c>
      <c r="E1150" s="450" t="s">
        <v>245</v>
      </c>
      <c r="F1150" s="467">
        <v>0.001</v>
      </c>
      <c r="G1150" s="467" t="s">
        <v>321</v>
      </c>
      <c r="H1150" s="468">
        <v>0.005</v>
      </c>
      <c r="I1150" s="450">
        <v>0.001</v>
      </c>
      <c r="J1150" s="450" t="s">
        <v>322</v>
      </c>
      <c r="K1150" s="469">
        <v>106</v>
      </c>
      <c r="L1150" s="470">
        <v>1</v>
      </c>
      <c r="M1150" s="509"/>
    </row>
    <row r="1151" spans="1:13" ht="12.75">
      <c r="A1151" s="466" t="s">
        <v>318</v>
      </c>
      <c r="B1151" s="450" t="s">
        <v>412</v>
      </c>
      <c r="C1151" s="458" t="s">
        <v>416</v>
      </c>
      <c r="D1151" s="449">
        <v>37386</v>
      </c>
      <c r="E1151" s="450" t="s">
        <v>245</v>
      </c>
      <c r="F1151" s="467">
        <v>0.001</v>
      </c>
      <c r="G1151" s="467" t="s">
        <v>321</v>
      </c>
      <c r="H1151" s="468">
        <v>0.005</v>
      </c>
      <c r="I1151" s="450">
        <v>0.001</v>
      </c>
      <c r="J1151" s="450" t="s">
        <v>322</v>
      </c>
      <c r="K1151" s="469">
        <v>106</v>
      </c>
      <c r="L1151" s="470">
        <v>1</v>
      </c>
      <c r="M1151" s="509"/>
    </row>
    <row r="1152" spans="1:13" ht="12.75">
      <c r="A1152" s="466" t="s">
        <v>318</v>
      </c>
      <c r="B1152" s="450" t="s">
        <v>412</v>
      </c>
      <c r="C1152" s="458" t="s">
        <v>416</v>
      </c>
      <c r="D1152" s="449">
        <v>37537</v>
      </c>
      <c r="E1152" s="450" t="s">
        <v>245</v>
      </c>
      <c r="F1152" s="467">
        <v>0.002</v>
      </c>
      <c r="G1152" s="467" t="s">
        <v>321</v>
      </c>
      <c r="H1152" s="468">
        <v>0.005</v>
      </c>
      <c r="I1152" s="450">
        <v>0.002</v>
      </c>
      <c r="J1152" s="450" t="s">
        <v>322</v>
      </c>
      <c r="K1152" s="469">
        <v>106</v>
      </c>
      <c r="L1152" s="470">
        <v>1</v>
      </c>
      <c r="M1152" s="509"/>
    </row>
    <row r="1153" spans="1:13" ht="12.75">
      <c r="A1153" s="466" t="s">
        <v>318</v>
      </c>
      <c r="B1153" s="450" t="s">
        <v>412</v>
      </c>
      <c r="C1153" s="458" t="s">
        <v>416</v>
      </c>
      <c r="D1153" s="449">
        <v>37743</v>
      </c>
      <c r="E1153" s="450" t="s">
        <v>245</v>
      </c>
      <c r="F1153" s="467">
        <v>0.002</v>
      </c>
      <c r="G1153" s="467" t="s">
        <v>321</v>
      </c>
      <c r="H1153" s="468">
        <v>0.005</v>
      </c>
      <c r="I1153" s="450">
        <v>0.002</v>
      </c>
      <c r="J1153" s="450" t="s">
        <v>322</v>
      </c>
      <c r="K1153" s="469">
        <v>106</v>
      </c>
      <c r="L1153" s="470">
        <v>1</v>
      </c>
      <c r="M1153" s="509"/>
    </row>
    <row r="1154" spans="1:13" ht="12.75">
      <c r="A1154" s="466" t="s">
        <v>318</v>
      </c>
      <c r="B1154" s="450" t="s">
        <v>412</v>
      </c>
      <c r="C1154" s="458" t="s">
        <v>416</v>
      </c>
      <c r="D1154" s="449">
        <v>37897</v>
      </c>
      <c r="E1154" s="450" t="s">
        <v>245</v>
      </c>
      <c r="F1154" s="467">
        <v>0.002</v>
      </c>
      <c r="G1154" s="467" t="s">
        <v>321</v>
      </c>
      <c r="H1154" s="468">
        <v>0.005</v>
      </c>
      <c r="I1154" s="450">
        <v>0.002</v>
      </c>
      <c r="J1154" s="450" t="s">
        <v>322</v>
      </c>
      <c r="K1154" s="469">
        <v>106</v>
      </c>
      <c r="L1154" s="470">
        <v>1</v>
      </c>
      <c r="M1154" s="509"/>
    </row>
    <row r="1155" spans="1:13" ht="12.75">
      <c r="A1155" s="466" t="s">
        <v>318</v>
      </c>
      <c r="B1155" s="450" t="s">
        <v>412</v>
      </c>
      <c r="C1155" s="458" t="s">
        <v>416</v>
      </c>
      <c r="D1155" s="449">
        <v>38113</v>
      </c>
      <c r="E1155" s="450" t="s">
        <v>245</v>
      </c>
      <c r="F1155" s="467">
        <v>0.002</v>
      </c>
      <c r="G1155" s="467" t="s">
        <v>321</v>
      </c>
      <c r="H1155" s="468">
        <v>0.005</v>
      </c>
      <c r="I1155" s="450">
        <v>0.002</v>
      </c>
      <c r="J1155" s="450" t="s">
        <v>322</v>
      </c>
      <c r="K1155" s="469">
        <v>106</v>
      </c>
      <c r="L1155" s="470">
        <v>1</v>
      </c>
      <c r="M1155" s="509"/>
    </row>
    <row r="1156" spans="1:13" ht="12.75">
      <c r="A1156" s="466" t="s">
        <v>318</v>
      </c>
      <c r="B1156" s="450" t="s">
        <v>412</v>
      </c>
      <c r="C1156" s="458" t="s">
        <v>416</v>
      </c>
      <c r="D1156" s="449">
        <v>38273</v>
      </c>
      <c r="E1156" s="450" t="s">
        <v>245</v>
      </c>
      <c r="F1156" s="467">
        <v>0.003</v>
      </c>
      <c r="G1156" s="467" t="s">
        <v>321</v>
      </c>
      <c r="H1156" s="468">
        <v>0.005</v>
      </c>
      <c r="I1156" s="450">
        <v>0.003</v>
      </c>
      <c r="J1156" s="450" t="s">
        <v>322</v>
      </c>
      <c r="K1156" s="469">
        <v>106</v>
      </c>
      <c r="L1156" s="470">
        <v>1</v>
      </c>
      <c r="M1156" s="509"/>
    </row>
    <row r="1157" spans="1:13" ht="12.75">
      <c r="A1157" s="466" t="s">
        <v>318</v>
      </c>
      <c r="B1157" s="450" t="s">
        <v>412</v>
      </c>
      <c r="C1157" s="458" t="s">
        <v>416</v>
      </c>
      <c r="D1157" s="449">
        <v>38477</v>
      </c>
      <c r="E1157" s="450" t="s">
        <v>245</v>
      </c>
      <c r="F1157" s="467">
        <v>0.0029</v>
      </c>
      <c r="G1157" s="467" t="s">
        <v>321</v>
      </c>
      <c r="H1157" s="468">
        <v>0.005</v>
      </c>
      <c r="I1157" s="450">
        <v>0.0029</v>
      </c>
      <c r="J1157" s="450" t="s">
        <v>322</v>
      </c>
      <c r="K1157" s="469">
        <v>106</v>
      </c>
      <c r="L1157" s="470">
        <v>1</v>
      </c>
      <c r="M1157" s="509"/>
    </row>
    <row r="1158" spans="1:13" ht="12.75">
      <c r="A1158" s="466" t="s">
        <v>318</v>
      </c>
      <c r="B1158" s="450" t="s">
        <v>412</v>
      </c>
      <c r="C1158" s="458" t="s">
        <v>416</v>
      </c>
      <c r="D1158" s="449">
        <v>38638</v>
      </c>
      <c r="E1158" s="450" t="s">
        <v>245</v>
      </c>
      <c r="F1158" s="467">
        <v>0.002</v>
      </c>
      <c r="G1158" s="467" t="s">
        <v>321</v>
      </c>
      <c r="H1158" s="468">
        <v>0.005</v>
      </c>
      <c r="I1158" s="450">
        <v>0.002</v>
      </c>
      <c r="J1158" s="450" t="s">
        <v>322</v>
      </c>
      <c r="K1158" s="469">
        <v>106</v>
      </c>
      <c r="L1158" s="470">
        <v>1</v>
      </c>
      <c r="M1158" s="509"/>
    </row>
    <row r="1159" spans="1:13" ht="12.75">
      <c r="A1159" s="466" t="s">
        <v>318</v>
      </c>
      <c r="B1159" s="450" t="s">
        <v>412</v>
      </c>
      <c r="C1159" s="458" t="s">
        <v>208</v>
      </c>
      <c r="D1159" s="449">
        <v>37173</v>
      </c>
      <c r="E1159" s="450" t="s">
        <v>245</v>
      </c>
      <c r="F1159" s="467">
        <v>0.005</v>
      </c>
      <c r="G1159" s="467" t="s">
        <v>321</v>
      </c>
      <c r="H1159" s="468">
        <v>0.02</v>
      </c>
      <c r="I1159" s="450">
        <v>0.005</v>
      </c>
      <c r="J1159" s="450" t="s">
        <v>322</v>
      </c>
      <c r="K1159" s="469">
        <v>107</v>
      </c>
      <c r="L1159" s="470">
        <v>1</v>
      </c>
      <c r="M1159" s="509"/>
    </row>
    <row r="1160" spans="1:13" ht="12.75">
      <c r="A1160" s="466" t="s">
        <v>318</v>
      </c>
      <c r="B1160" s="450" t="s">
        <v>412</v>
      </c>
      <c r="C1160" s="458" t="s">
        <v>208</v>
      </c>
      <c r="D1160" s="449">
        <v>37386</v>
      </c>
      <c r="E1160" s="450" t="s">
        <v>245</v>
      </c>
      <c r="F1160" s="467">
        <v>0.005</v>
      </c>
      <c r="G1160" s="467" t="s">
        <v>321</v>
      </c>
      <c r="H1160" s="468">
        <v>0.02</v>
      </c>
      <c r="I1160" s="450">
        <v>0.005</v>
      </c>
      <c r="J1160" s="450" t="s">
        <v>322</v>
      </c>
      <c r="K1160" s="469">
        <v>107</v>
      </c>
      <c r="L1160" s="470">
        <v>1</v>
      </c>
      <c r="M1160" s="509"/>
    </row>
    <row r="1161" spans="1:13" ht="12.75">
      <c r="A1161" s="466" t="s">
        <v>318</v>
      </c>
      <c r="B1161" s="450" t="s">
        <v>412</v>
      </c>
      <c r="C1161" s="458" t="s">
        <v>208</v>
      </c>
      <c r="D1161" s="449">
        <v>37537</v>
      </c>
      <c r="E1161" s="450" t="s">
        <v>245</v>
      </c>
      <c r="F1161" s="467">
        <v>0.005</v>
      </c>
      <c r="G1161" s="467" t="s">
        <v>321</v>
      </c>
      <c r="H1161" s="468">
        <v>0.02</v>
      </c>
      <c r="I1161" s="450">
        <v>0.005</v>
      </c>
      <c r="J1161" s="450" t="s">
        <v>322</v>
      </c>
      <c r="K1161" s="469">
        <v>107</v>
      </c>
      <c r="L1161" s="470">
        <v>1</v>
      </c>
      <c r="M1161" s="509"/>
    </row>
    <row r="1162" spans="1:13" ht="12.75">
      <c r="A1162" s="466" t="s">
        <v>318</v>
      </c>
      <c r="B1162" s="450" t="s">
        <v>412</v>
      </c>
      <c r="C1162" s="458" t="s">
        <v>208</v>
      </c>
      <c r="D1162" s="449">
        <v>37743</v>
      </c>
      <c r="E1162" s="450" t="s">
        <v>245</v>
      </c>
      <c r="F1162" s="467">
        <v>0.005</v>
      </c>
      <c r="G1162" s="467" t="s">
        <v>321</v>
      </c>
      <c r="H1162" s="468">
        <v>0.02</v>
      </c>
      <c r="I1162" s="450">
        <v>0.005</v>
      </c>
      <c r="J1162" s="450" t="s">
        <v>322</v>
      </c>
      <c r="K1162" s="469">
        <v>107</v>
      </c>
      <c r="L1162" s="470">
        <v>1</v>
      </c>
      <c r="M1162" s="509"/>
    </row>
    <row r="1163" spans="1:13" ht="12.75">
      <c r="A1163" s="466" t="s">
        <v>318</v>
      </c>
      <c r="B1163" s="450" t="s">
        <v>412</v>
      </c>
      <c r="C1163" s="458" t="s">
        <v>208</v>
      </c>
      <c r="D1163" s="449">
        <v>37897</v>
      </c>
      <c r="E1163" s="450" t="s">
        <v>245</v>
      </c>
      <c r="F1163" s="467">
        <v>0.005</v>
      </c>
      <c r="G1163" s="467" t="s">
        <v>321</v>
      </c>
      <c r="H1163" s="468">
        <v>0.02</v>
      </c>
      <c r="I1163" s="450">
        <v>0.005</v>
      </c>
      <c r="J1163" s="450" t="s">
        <v>322</v>
      </c>
      <c r="K1163" s="469">
        <v>107</v>
      </c>
      <c r="L1163" s="470">
        <v>1</v>
      </c>
      <c r="M1163" s="509"/>
    </row>
    <row r="1164" spans="1:13" ht="12.75">
      <c r="A1164" s="466" t="s">
        <v>318</v>
      </c>
      <c r="B1164" s="450" t="s">
        <v>412</v>
      </c>
      <c r="C1164" s="458" t="s">
        <v>208</v>
      </c>
      <c r="D1164" s="449">
        <v>38113</v>
      </c>
      <c r="E1164" s="450" t="s">
        <v>245</v>
      </c>
      <c r="F1164" s="467">
        <v>0.005</v>
      </c>
      <c r="G1164" s="467" t="s">
        <v>321</v>
      </c>
      <c r="H1164" s="468">
        <v>0.02</v>
      </c>
      <c r="I1164" s="450">
        <v>0.005</v>
      </c>
      <c r="J1164" s="450" t="s">
        <v>322</v>
      </c>
      <c r="K1164" s="469">
        <v>107</v>
      </c>
      <c r="L1164" s="470">
        <v>1</v>
      </c>
      <c r="M1164" s="509"/>
    </row>
    <row r="1165" spans="1:13" ht="12.75">
      <c r="A1165" s="466" t="s">
        <v>318</v>
      </c>
      <c r="B1165" s="450" t="s">
        <v>412</v>
      </c>
      <c r="C1165" s="458" t="s">
        <v>208</v>
      </c>
      <c r="D1165" s="449">
        <v>38273</v>
      </c>
      <c r="E1165" s="450" t="s">
        <v>245</v>
      </c>
      <c r="F1165" s="467">
        <v>0.02</v>
      </c>
      <c r="G1165" s="467" t="s">
        <v>321</v>
      </c>
      <c r="H1165" s="468">
        <v>0.02</v>
      </c>
      <c r="I1165" s="450">
        <v>0.02</v>
      </c>
      <c r="J1165" s="450" t="s">
        <v>322</v>
      </c>
      <c r="K1165" s="469">
        <v>107</v>
      </c>
      <c r="L1165" s="470">
        <v>1</v>
      </c>
      <c r="M1165" s="509"/>
    </row>
    <row r="1166" spans="1:13" ht="12.75">
      <c r="A1166" s="466" t="s">
        <v>318</v>
      </c>
      <c r="B1166" s="450" t="s">
        <v>412</v>
      </c>
      <c r="C1166" s="458" t="s">
        <v>208</v>
      </c>
      <c r="D1166" s="449">
        <v>38477</v>
      </c>
      <c r="E1166" s="450" t="s">
        <v>245</v>
      </c>
      <c r="F1166" s="467">
        <v>0.02</v>
      </c>
      <c r="G1166" s="467" t="s">
        <v>321</v>
      </c>
      <c r="H1166" s="468">
        <v>0.02</v>
      </c>
      <c r="I1166" s="450">
        <v>0.02</v>
      </c>
      <c r="J1166" s="450" t="s">
        <v>322</v>
      </c>
      <c r="K1166" s="469">
        <v>107</v>
      </c>
      <c r="L1166" s="470">
        <v>1</v>
      </c>
      <c r="M1166" s="509"/>
    </row>
    <row r="1167" spans="1:13" ht="12.75">
      <c r="A1167" s="466" t="s">
        <v>318</v>
      </c>
      <c r="B1167" s="450" t="s">
        <v>412</v>
      </c>
      <c r="C1167" s="458" t="s">
        <v>208</v>
      </c>
      <c r="D1167" s="449">
        <v>38638</v>
      </c>
      <c r="E1167" s="450" t="s">
        <v>245</v>
      </c>
      <c r="F1167" s="467">
        <v>0.02</v>
      </c>
      <c r="G1167" s="467" t="s">
        <v>321</v>
      </c>
      <c r="H1167" s="468">
        <v>0.02</v>
      </c>
      <c r="I1167" s="450">
        <v>0.02</v>
      </c>
      <c r="J1167" s="450" t="s">
        <v>322</v>
      </c>
      <c r="K1167" s="469">
        <v>107</v>
      </c>
      <c r="L1167" s="470">
        <v>1</v>
      </c>
      <c r="M1167" s="509"/>
    </row>
    <row r="1168" spans="1:13" ht="12.75">
      <c r="A1168" s="466" t="s">
        <v>318</v>
      </c>
      <c r="B1168" s="450" t="s">
        <v>412</v>
      </c>
      <c r="C1168" s="458" t="s">
        <v>417</v>
      </c>
      <c r="D1168" s="449">
        <v>37173</v>
      </c>
      <c r="E1168" s="450" t="s">
        <v>245</v>
      </c>
      <c r="F1168" s="467">
        <v>0.001</v>
      </c>
      <c r="G1168" s="467" t="s">
        <v>321</v>
      </c>
      <c r="H1168" s="468">
        <v>0.01</v>
      </c>
      <c r="I1168" s="450">
        <v>0.001</v>
      </c>
      <c r="J1168" s="450" t="s">
        <v>322</v>
      </c>
      <c r="K1168" s="469">
        <v>108</v>
      </c>
      <c r="L1168" s="470">
        <v>1</v>
      </c>
      <c r="M1168" s="509"/>
    </row>
    <row r="1169" spans="1:13" ht="12.75">
      <c r="A1169" s="466" t="s">
        <v>318</v>
      </c>
      <c r="B1169" s="450" t="s">
        <v>412</v>
      </c>
      <c r="C1169" s="458" t="s">
        <v>417</v>
      </c>
      <c r="D1169" s="449">
        <v>37386</v>
      </c>
      <c r="E1169" s="450" t="s">
        <v>245</v>
      </c>
      <c r="F1169" s="467">
        <v>0.001</v>
      </c>
      <c r="G1169" s="467" t="s">
        <v>321</v>
      </c>
      <c r="H1169" s="468">
        <v>0.01</v>
      </c>
      <c r="I1169" s="450">
        <v>0.001</v>
      </c>
      <c r="J1169" s="450" t="s">
        <v>322</v>
      </c>
      <c r="K1169" s="469">
        <v>108</v>
      </c>
      <c r="L1169" s="470">
        <v>1</v>
      </c>
      <c r="M1169" s="509"/>
    </row>
    <row r="1170" spans="1:13" ht="12.75">
      <c r="A1170" s="466" t="s">
        <v>318</v>
      </c>
      <c r="B1170" s="450" t="s">
        <v>412</v>
      </c>
      <c r="C1170" s="458" t="s">
        <v>417</v>
      </c>
      <c r="D1170" s="449">
        <v>37537</v>
      </c>
      <c r="E1170" s="450" t="s">
        <v>245</v>
      </c>
      <c r="F1170" s="467">
        <v>0.002</v>
      </c>
      <c r="G1170" s="467" t="s">
        <v>321</v>
      </c>
      <c r="H1170" s="468">
        <v>0.01</v>
      </c>
      <c r="I1170" s="450">
        <v>0.002</v>
      </c>
      <c r="J1170" s="450" t="s">
        <v>322</v>
      </c>
      <c r="K1170" s="469">
        <v>108</v>
      </c>
      <c r="L1170" s="470">
        <v>1</v>
      </c>
      <c r="M1170" s="509"/>
    </row>
    <row r="1171" spans="1:13" ht="12.75">
      <c r="A1171" s="466" t="s">
        <v>318</v>
      </c>
      <c r="B1171" s="450" t="s">
        <v>412</v>
      </c>
      <c r="C1171" s="458" t="s">
        <v>417</v>
      </c>
      <c r="D1171" s="449">
        <v>37743</v>
      </c>
      <c r="E1171" s="450" t="s">
        <v>245</v>
      </c>
      <c r="F1171" s="467">
        <v>0.002</v>
      </c>
      <c r="G1171" s="467" t="s">
        <v>321</v>
      </c>
      <c r="H1171" s="468">
        <v>0.01</v>
      </c>
      <c r="I1171" s="450">
        <v>0.002</v>
      </c>
      <c r="J1171" s="450" t="s">
        <v>322</v>
      </c>
      <c r="K1171" s="469">
        <v>108</v>
      </c>
      <c r="L1171" s="470">
        <v>1</v>
      </c>
      <c r="M1171" s="509"/>
    </row>
    <row r="1172" spans="1:13" ht="12.75">
      <c r="A1172" s="466" t="s">
        <v>318</v>
      </c>
      <c r="B1172" s="450" t="s">
        <v>412</v>
      </c>
      <c r="C1172" s="458" t="s">
        <v>417</v>
      </c>
      <c r="D1172" s="449">
        <v>37897</v>
      </c>
      <c r="E1172" s="450" t="s">
        <v>245</v>
      </c>
      <c r="F1172" s="467">
        <v>0.002</v>
      </c>
      <c r="G1172" s="467" t="s">
        <v>321</v>
      </c>
      <c r="H1172" s="468">
        <v>0.01</v>
      </c>
      <c r="I1172" s="450">
        <v>0.002</v>
      </c>
      <c r="J1172" s="450" t="s">
        <v>322</v>
      </c>
      <c r="K1172" s="469">
        <v>108</v>
      </c>
      <c r="L1172" s="470">
        <v>1</v>
      </c>
      <c r="M1172" s="509"/>
    </row>
    <row r="1173" spans="1:13" ht="12.75">
      <c r="A1173" s="466" t="s">
        <v>318</v>
      </c>
      <c r="B1173" s="450" t="s">
        <v>412</v>
      </c>
      <c r="C1173" s="458" t="s">
        <v>417</v>
      </c>
      <c r="D1173" s="449">
        <v>38113</v>
      </c>
      <c r="E1173" s="450" t="s">
        <v>245</v>
      </c>
      <c r="F1173" s="467">
        <v>0.002</v>
      </c>
      <c r="G1173" s="467" t="s">
        <v>321</v>
      </c>
      <c r="H1173" s="468">
        <v>0.01</v>
      </c>
      <c r="I1173" s="450">
        <v>0.002</v>
      </c>
      <c r="J1173" s="450" t="s">
        <v>322</v>
      </c>
      <c r="K1173" s="469">
        <v>108</v>
      </c>
      <c r="L1173" s="470">
        <v>1</v>
      </c>
      <c r="M1173" s="509"/>
    </row>
    <row r="1174" spans="1:13" ht="12.75">
      <c r="A1174" s="466" t="s">
        <v>318</v>
      </c>
      <c r="B1174" s="450" t="s">
        <v>412</v>
      </c>
      <c r="C1174" s="458" t="s">
        <v>417</v>
      </c>
      <c r="D1174" s="449">
        <v>38273</v>
      </c>
      <c r="E1174" s="450" t="s">
        <v>245</v>
      </c>
      <c r="F1174" s="467">
        <v>0.002</v>
      </c>
      <c r="G1174" s="467" t="s">
        <v>321</v>
      </c>
      <c r="H1174" s="468">
        <v>0.01</v>
      </c>
      <c r="I1174" s="450">
        <v>0.002</v>
      </c>
      <c r="J1174" s="450" t="s">
        <v>322</v>
      </c>
      <c r="K1174" s="469">
        <v>108</v>
      </c>
      <c r="L1174" s="470">
        <v>1</v>
      </c>
      <c r="M1174" s="509"/>
    </row>
    <row r="1175" spans="1:13" ht="12.75">
      <c r="A1175" s="466" t="s">
        <v>318</v>
      </c>
      <c r="B1175" s="450" t="s">
        <v>412</v>
      </c>
      <c r="C1175" s="458" t="s">
        <v>417</v>
      </c>
      <c r="D1175" s="449">
        <v>38477</v>
      </c>
      <c r="E1175" s="450" t="s">
        <v>245</v>
      </c>
      <c r="F1175" s="467">
        <v>0.002</v>
      </c>
      <c r="G1175" s="467" t="s">
        <v>321</v>
      </c>
      <c r="H1175" s="468">
        <v>0.01</v>
      </c>
      <c r="I1175" s="450">
        <v>0.002</v>
      </c>
      <c r="J1175" s="450" t="s">
        <v>322</v>
      </c>
      <c r="K1175" s="469">
        <v>108</v>
      </c>
      <c r="L1175" s="470">
        <v>1</v>
      </c>
      <c r="M1175" s="509"/>
    </row>
    <row r="1176" spans="1:13" ht="12.75">
      <c r="A1176" s="466" t="s">
        <v>318</v>
      </c>
      <c r="B1176" s="450" t="s">
        <v>412</v>
      </c>
      <c r="C1176" s="458" t="s">
        <v>417</v>
      </c>
      <c r="D1176" s="449">
        <v>38638</v>
      </c>
      <c r="E1176" s="450" t="s">
        <v>245</v>
      </c>
      <c r="F1176" s="467">
        <v>0.002</v>
      </c>
      <c r="G1176" s="467" t="s">
        <v>321</v>
      </c>
      <c r="H1176" s="468">
        <v>0.01</v>
      </c>
      <c r="I1176" s="450">
        <v>0.002</v>
      </c>
      <c r="J1176" s="450" t="s">
        <v>322</v>
      </c>
      <c r="K1176" s="469">
        <v>108</v>
      </c>
      <c r="L1176" s="470">
        <v>1</v>
      </c>
      <c r="M1176" s="509"/>
    </row>
    <row r="1177" spans="1:13" ht="12.75">
      <c r="A1177" s="466" t="s">
        <v>318</v>
      </c>
      <c r="B1177" s="450" t="s">
        <v>412</v>
      </c>
      <c r="C1177" s="458" t="s">
        <v>418</v>
      </c>
      <c r="D1177" s="449">
        <v>37173</v>
      </c>
      <c r="E1177" s="450" t="s">
        <v>245</v>
      </c>
      <c r="F1177" s="467">
        <v>0.001</v>
      </c>
      <c r="G1177" s="467" t="s">
        <v>321</v>
      </c>
      <c r="H1177" s="468">
        <v>0.01</v>
      </c>
      <c r="I1177" s="450">
        <v>0.001</v>
      </c>
      <c r="J1177" s="450" t="s">
        <v>322</v>
      </c>
      <c r="K1177" s="469">
        <v>109</v>
      </c>
      <c r="L1177" s="470">
        <v>1</v>
      </c>
      <c r="M1177" s="509"/>
    </row>
    <row r="1178" spans="1:13" ht="12.75">
      <c r="A1178" s="466" t="s">
        <v>318</v>
      </c>
      <c r="B1178" s="450" t="s">
        <v>412</v>
      </c>
      <c r="C1178" s="458" t="s">
        <v>418</v>
      </c>
      <c r="D1178" s="449">
        <v>37386</v>
      </c>
      <c r="E1178" s="450" t="s">
        <v>245</v>
      </c>
      <c r="F1178" s="467">
        <v>0.001</v>
      </c>
      <c r="G1178" s="467" t="s">
        <v>321</v>
      </c>
      <c r="H1178" s="468">
        <v>0.01</v>
      </c>
      <c r="I1178" s="450">
        <v>0.001</v>
      </c>
      <c r="J1178" s="450" t="s">
        <v>322</v>
      </c>
      <c r="K1178" s="469">
        <v>109</v>
      </c>
      <c r="L1178" s="470">
        <v>1</v>
      </c>
      <c r="M1178" s="509"/>
    </row>
    <row r="1179" spans="1:13" ht="12.75">
      <c r="A1179" s="466" t="s">
        <v>318</v>
      </c>
      <c r="B1179" s="450" t="s">
        <v>412</v>
      </c>
      <c r="C1179" s="458" t="s">
        <v>418</v>
      </c>
      <c r="D1179" s="449">
        <v>37537</v>
      </c>
      <c r="E1179" s="450" t="s">
        <v>245</v>
      </c>
      <c r="F1179" s="467">
        <v>0.002</v>
      </c>
      <c r="G1179" s="467" t="s">
        <v>321</v>
      </c>
      <c r="H1179" s="468">
        <v>0.01</v>
      </c>
      <c r="I1179" s="450">
        <v>0.002</v>
      </c>
      <c r="J1179" s="450" t="s">
        <v>322</v>
      </c>
      <c r="K1179" s="469">
        <v>109</v>
      </c>
      <c r="L1179" s="470">
        <v>1</v>
      </c>
      <c r="M1179" s="509"/>
    </row>
    <row r="1180" spans="1:13" ht="12.75">
      <c r="A1180" s="466" t="s">
        <v>318</v>
      </c>
      <c r="B1180" s="450" t="s">
        <v>412</v>
      </c>
      <c r="C1180" s="458" t="s">
        <v>418</v>
      </c>
      <c r="D1180" s="449">
        <v>37743</v>
      </c>
      <c r="E1180" s="450" t="s">
        <v>245</v>
      </c>
      <c r="F1180" s="467">
        <v>0.002</v>
      </c>
      <c r="G1180" s="467" t="s">
        <v>321</v>
      </c>
      <c r="H1180" s="468">
        <v>0.01</v>
      </c>
      <c r="I1180" s="450">
        <v>0.002</v>
      </c>
      <c r="J1180" s="450" t="s">
        <v>322</v>
      </c>
      <c r="K1180" s="469">
        <v>109</v>
      </c>
      <c r="L1180" s="470">
        <v>1</v>
      </c>
      <c r="M1180" s="509"/>
    </row>
    <row r="1181" spans="1:13" ht="12.75">
      <c r="A1181" s="466" t="s">
        <v>318</v>
      </c>
      <c r="B1181" s="450" t="s">
        <v>412</v>
      </c>
      <c r="C1181" s="458" t="s">
        <v>418</v>
      </c>
      <c r="D1181" s="449">
        <v>37897</v>
      </c>
      <c r="E1181" s="450" t="s">
        <v>245</v>
      </c>
      <c r="F1181" s="467">
        <v>0.002</v>
      </c>
      <c r="G1181" s="467" t="s">
        <v>321</v>
      </c>
      <c r="H1181" s="468">
        <v>0.01</v>
      </c>
      <c r="I1181" s="450">
        <v>0.002</v>
      </c>
      <c r="J1181" s="450" t="s">
        <v>322</v>
      </c>
      <c r="K1181" s="469">
        <v>109</v>
      </c>
      <c r="L1181" s="470">
        <v>1</v>
      </c>
      <c r="M1181" s="509"/>
    </row>
    <row r="1182" spans="1:13" ht="12.75">
      <c r="A1182" s="466" t="s">
        <v>318</v>
      </c>
      <c r="B1182" s="450" t="s">
        <v>412</v>
      </c>
      <c r="C1182" s="458" t="s">
        <v>418</v>
      </c>
      <c r="D1182" s="449">
        <v>38113</v>
      </c>
      <c r="E1182" s="450" t="s">
        <v>245</v>
      </c>
      <c r="F1182" s="467">
        <v>0.002</v>
      </c>
      <c r="G1182" s="467" t="s">
        <v>321</v>
      </c>
      <c r="H1182" s="468">
        <v>0.01</v>
      </c>
      <c r="I1182" s="450">
        <v>0.002</v>
      </c>
      <c r="J1182" s="450" t="s">
        <v>322</v>
      </c>
      <c r="K1182" s="469">
        <v>109</v>
      </c>
      <c r="L1182" s="470">
        <v>1</v>
      </c>
      <c r="M1182" s="509"/>
    </row>
    <row r="1183" spans="1:13" ht="12.75">
      <c r="A1183" s="466" t="s">
        <v>318</v>
      </c>
      <c r="B1183" s="450" t="s">
        <v>412</v>
      </c>
      <c r="C1183" s="458" t="s">
        <v>418</v>
      </c>
      <c r="D1183" s="449">
        <v>38273</v>
      </c>
      <c r="E1183" s="450" t="s">
        <v>245</v>
      </c>
      <c r="F1183" s="467">
        <v>0.003</v>
      </c>
      <c r="G1183" s="467" t="s">
        <v>321</v>
      </c>
      <c r="H1183" s="468">
        <v>0.01</v>
      </c>
      <c r="I1183" s="450">
        <v>0.003</v>
      </c>
      <c r="J1183" s="450" t="s">
        <v>322</v>
      </c>
      <c r="K1183" s="469">
        <v>109</v>
      </c>
      <c r="L1183" s="470">
        <v>1</v>
      </c>
      <c r="M1183" s="509"/>
    </row>
    <row r="1184" spans="1:13" ht="12.75">
      <c r="A1184" s="466" t="s">
        <v>318</v>
      </c>
      <c r="B1184" s="450" t="s">
        <v>412</v>
      </c>
      <c r="C1184" s="458" t="s">
        <v>418</v>
      </c>
      <c r="D1184" s="449">
        <v>38477</v>
      </c>
      <c r="E1184" s="450" t="s">
        <v>245</v>
      </c>
      <c r="F1184" s="467">
        <v>0.0029</v>
      </c>
      <c r="G1184" s="467" t="s">
        <v>321</v>
      </c>
      <c r="H1184" s="468">
        <v>0.01</v>
      </c>
      <c r="I1184" s="450">
        <v>0.0029</v>
      </c>
      <c r="J1184" s="450" t="s">
        <v>322</v>
      </c>
      <c r="K1184" s="469">
        <v>109</v>
      </c>
      <c r="L1184" s="470">
        <v>1</v>
      </c>
      <c r="M1184" s="509"/>
    </row>
    <row r="1185" spans="1:13" ht="12.75">
      <c r="A1185" s="466" t="s">
        <v>318</v>
      </c>
      <c r="B1185" s="450" t="s">
        <v>412</v>
      </c>
      <c r="C1185" s="458" t="s">
        <v>418</v>
      </c>
      <c r="D1185" s="449">
        <v>38638</v>
      </c>
      <c r="E1185" s="450" t="s">
        <v>245</v>
      </c>
      <c r="F1185" s="467">
        <v>0.003</v>
      </c>
      <c r="G1185" s="467" t="s">
        <v>321</v>
      </c>
      <c r="H1185" s="468">
        <v>0.01</v>
      </c>
      <c r="I1185" s="450">
        <v>0.003</v>
      </c>
      <c r="J1185" s="450" t="s">
        <v>322</v>
      </c>
      <c r="K1185" s="469">
        <v>109</v>
      </c>
      <c r="L1185" s="470">
        <v>1</v>
      </c>
      <c r="M1185" s="509"/>
    </row>
    <row r="1186" spans="1:13" ht="12.75">
      <c r="A1186" s="466" t="s">
        <v>318</v>
      </c>
      <c r="B1186" s="450" t="s">
        <v>412</v>
      </c>
      <c r="C1186" s="458" t="s">
        <v>419</v>
      </c>
      <c r="D1186" s="449">
        <v>37173</v>
      </c>
      <c r="E1186" s="450" t="s">
        <v>245</v>
      </c>
      <c r="F1186" s="467">
        <v>0.001</v>
      </c>
      <c r="G1186" s="467" t="s">
        <v>321</v>
      </c>
      <c r="H1186" s="468">
        <v>0.01</v>
      </c>
      <c r="I1186" s="450">
        <v>0.001</v>
      </c>
      <c r="J1186" s="450" t="s">
        <v>322</v>
      </c>
      <c r="K1186" s="469">
        <v>110</v>
      </c>
      <c r="L1186" s="470">
        <v>1</v>
      </c>
      <c r="M1186" s="509"/>
    </row>
    <row r="1187" spans="1:13" ht="12.75">
      <c r="A1187" s="466" t="s">
        <v>318</v>
      </c>
      <c r="B1187" s="450" t="s">
        <v>412</v>
      </c>
      <c r="C1187" s="458" t="s">
        <v>419</v>
      </c>
      <c r="D1187" s="449">
        <v>37386</v>
      </c>
      <c r="E1187" s="450" t="s">
        <v>245</v>
      </c>
      <c r="F1187" s="467">
        <v>0.001</v>
      </c>
      <c r="G1187" s="467" t="s">
        <v>321</v>
      </c>
      <c r="H1187" s="468">
        <v>0.01</v>
      </c>
      <c r="I1187" s="450">
        <v>0.001</v>
      </c>
      <c r="J1187" s="450" t="s">
        <v>322</v>
      </c>
      <c r="K1187" s="469">
        <v>110</v>
      </c>
      <c r="L1187" s="470">
        <v>1</v>
      </c>
      <c r="M1187" s="509"/>
    </row>
    <row r="1188" spans="1:13" ht="12.75">
      <c r="A1188" s="466" t="s">
        <v>318</v>
      </c>
      <c r="B1188" s="450" t="s">
        <v>412</v>
      </c>
      <c r="C1188" s="458" t="s">
        <v>419</v>
      </c>
      <c r="D1188" s="449">
        <v>37537</v>
      </c>
      <c r="E1188" s="450" t="s">
        <v>245</v>
      </c>
      <c r="F1188" s="467">
        <v>0.003</v>
      </c>
      <c r="G1188" s="467" t="s">
        <v>321</v>
      </c>
      <c r="H1188" s="468">
        <v>0.01</v>
      </c>
      <c r="I1188" s="450">
        <v>0.003</v>
      </c>
      <c r="J1188" s="450" t="s">
        <v>322</v>
      </c>
      <c r="K1188" s="469">
        <v>110</v>
      </c>
      <c r="L1188" s="470">
        <v>1</v>
      </c>
      <c r="M1188" s="509"/>
    </row>
    <row r="1189" spans="1:13" ht="12.75">
      <c r="A1189" s="466" t="s">
        <v>318</v>
      </c>
      <c r="B1189" s="450" t="s">
        <v>412</v>
      </c>
      <c r="C1189" s="458" t="s">
        <v>419</v>
      </c>
      <c r="D1189" s="449">
        <v>37743</v>
      </c>
      <c r="E1189" s="450" t="s">
        <v>245</v>
      </c>
      <c r="F1189" s="467">
        <v>0.003</v>
      </c>
      <c r="G1189" s="467" t="s">
        <v>321</v>
      </c>
      <c r="H1189" s="468">
        <v>0.01</v>
      </c>
      <c r="I1189" s="450">
        <v>0.003</v>
      </c>
      <c r="J1189" s="450" t="s">
        <v>322</v>
      </c>
      <c r="K1189" s="469">
        <v>110</v>
      </c>
      <c r="L1189" s="470">
        <v>1</v>
      </c>
      <c r="M1189" s="509"/>
    </row>
    <row r="1190" spans="1:13" ht="12.75">
      <c r="A1190" s="466" t="s">
        <v>318</v>
      </c>
      <c r="B1190" s="450" t="s">
        <v>412</v>
      </c>
      <c r="C1190" s="458" t="s">
        <v>419</v>
      </c>
      <c r="D1190" s="449">
        <v>37897</v>
      </c>
      <c r="E1190" s="450" t="s">
        <v>245</v>
      </c>
      <c r="F1190" s="467">
        <v>0.003</v>
      </c>
      <c r="G1190" s="467" t="s">
        <v>321</v>
      </c>
      <c r="H1190" s="468">
        <v>0.01</v>
      </c>
      <c r="I1190" s="450">
        <v>0.003</v>
      </c>
      <c r="J1190" s="450" t="s">
        <v>322</v>
      </c>
      <c r="K1190" s="469">
        <v>110</v>
      </c>
      <c r="L1190" s="470">
        <v>1</v>
      </c>
      <c r="M1190" s="509"/>
    </row>
    <row r="1191" spans="1:13" ht="12.75">
      <c r="A1191" s="466" t="s">
        <v>318</v>
      </c>
      <c r="B1191" s="450" t="s">
        <v>412</v>
      </c>
      <c r="C1191" s="458" t="s">
        <v>419</v>
      </c>
      <c r="D1191" s="449">
        <v>38113</v>
      </c>
      <c r="E1191" s="450" t="s">
        <v>245</v>
      </c>
      <c r="F1191" s="467">
        <v>0.003</v>
      </c>
      <c r="G1191" s="467" t="s">
        <v>321</v>
      </c>
      <c r="H1191" s="468">
        <v>0.01</v>
      </c>
      <c r="I1191" s="450">
        <v>0.003</v>
      </c>
      <c r="J1191" s="450" t="s">
        <v>322</v>
      </c>
      <c r="K1191" s="469">
        <v>110</v>
      </c>
      <c r="L1191" s="470">
        <v>1</v>
      </c>
      <c r="M1191" s="509"/>
    </row>
    <row r="1192" spans="1:13" ht="12.75">
      <c r="A1192" s="466" t="s">
        <v>318</v>
      </c>
      <c r="B1192" s="450" t="s">
        <v>412</v>
      </c>
      <c r="C1192" s="458" t="s">
        <v>419</v>
      </c>
      <c r="D1192" s="449">
        <v>38273</v>
      </c>
      <c r="E1192" s="450" t="s">
        <v>245</v>
      </c>
      <c r="F1192" s="467">
        <v>0.003</v>
      </c>
      <c r="G1192" s="467" t="s">
        <v>321</v>
      </c>
      <c r="H1192" s="468">
        <v>0.01</v>
      </c>
      <c r="I1192" s="450">
        <v>0.003</v>
      </c>
      <c r="J1192" s="450" t="s">
        <v>322</v>
      </c>
      <c r="K1192" s="469">
        <v>110</v>
      </c>
      <c r="L1192" s="470">
        <v>1</v>
      </c>
      <c r="M1192" s="509"/>
    </row>
    <row r="1193" spans="1:13" ht="12.75">
      <c r="A1193" s="466" t="s">
        <v>318</v>
      </c>
      <c r="B1193" s="450" t="s">
        <v>412</v>
      </c>
      <c r="C1193" s="458" t="s">
        <v>419</v>
      </c>
      <c r="D1193" s="449">
        <v>38477</v>
      </c>
      <c r="E1193" s="450" t="s">
        <v>245</v>
      </c>
      <c r="F1193" s="467">
        <v>0.0029</v>
      </c>
      <c r="G1193" s="467" t="s">
        <v>321</v>
      </c>
      <c r="H1193" s="468">
        <v>0.01</v>
      </c>
      <c r="I1193" s="450">
        <v>0.0029</v>
      </c>
      <c r="J1193" s="450" t="s">
        <v>322</v>
      </c>
      <c r="K1193" s="469">
        <v>110</v>
      </c>
      <c r="L1193" s="470">
        <v>1</v>
      </c>
      <c r="M1193" s="509"/>
    </row>
    <row r="1194" spans="1:13" ht="12.75">
      <c r="A1194" s="466" t="s">
        <v>318</v>
      </c>
      <c r="B1194" s="450" t="s">
        <v>412</v>
      </c>
      <c r="C1194" s="458" t="s">
        <v>419</v>
      </c>
      <c r="D1194" s="449">
        <v>38638</v>
      </c>
      <c r="E1194" s="450" t="s">
        <v>245</v>
      </c>
      <c r="F1194" s="467">
        <v>0.002</v>
      </c>
      <c r="G1194" s="467" t="s">
        <v>321</v>
      </c>
      <c r="H1194" s="468">
        <v>0.01</v>
      </c>
      <c r="I1194" s="450">
        <v>0.002</v>
      </c>
      <c r="J1194" s="450" t="s">
        <v>322</v>
      </c>
      <c r="K1194" s="469">
        <v>110</v>
      </c>
      <c r="L1194" s="470">
        <v>1</v>
      </c>
      <c r="M1194" s="509"/>
    </row>
    <row r="1195" spans="1:13" ht="12.75">
      <c r="A1195" s="466" t="s">
        <v>318</v>
      </c>
      <c r="B1195" s="450" t="s">
        <v>412</v>
      </c>
      <c r="C1195" s="458" t="s">
        <v>212</v>
      </c>
      <c r="D1195" s="449">
        <v>37173</v>
      </c>
      <c r="E1195" s="450" t="s">
        <v>245</v>
      </c>
      <c r="F1195" s="467">
        <v>0.002</v>
      </c>
      <c r="G1195" s="467" t="s">
        <v>321</v>
      </c>
      <c r="H1195" s="468">
        <v>0.01</v>
      </c>
      <c r="I1195" s="450">
        <v>0.002</v>
      </c>
      <c r="J1195" s="450" t="s">
        <v>322</v>
      </c>
      <c r="K1195" s="469">
        <v>111</v>
      </c>
      <c r="L1195" s="470">
        <v>1</v>
      </c>
      <c r="M1195" s="509"/>
    </row>
    <row r="1196" spans="1:13" ht="12.75">
      <c r="A1196" s="466" t="s">
        <v>318</v>
      </c>
      <c r="B1196" s="450" t="s">
        <v>412</v>
      </c>
      <c r="C1196" s="458" t="s">
        <v>212</v>
      </c>
      <c r="D1196" s="449">
        <v>37386</v>
      </c>
      <c r="E1196" s="450" t="s">
        <v>245</v>
      </c>
      <c r="F1196" s="467">
        <v>0.002</v>
      </c>
      <c r="G1196" s="467" t="s">
        <v>321</v>
      </c>
      <c r="H1196" s="468">
        <v>0.01</v>
      </c>
      <c r="I1196" s="450">
        <v>0.002</v>
      </c>
      <c r="J1196" s="450" t="s">
        <v>322</v>
      </c>
      <c r="K1196" s="469">
        <v>111</v>
      </c>
      <c r="L1196" s="470">
        <v>1</v>
      </c>
      <c r="M1196" s="509"/>
    </row>
    <row r="1197" spans="1:13" ht="12.75">
      <c r="A1197" s="466" t="s">
        <v>318</v>
      </c>
      <c r="B1197" s="450" t="s">
        <v>412</v>
      </c>
      <c r="C1197" s="458" t="s">
        <v>212</v>
      </c>
      <c r="D1197" s="449">
        <v>37537</v>
      </c>
      <c r="E1197" s="450" t="s">
        <v>245</v>
      </c>
      <c r="F1197" s="467">
        <v>0.002</v>
      </c>
      <c r="G1197" s="467" t="s">
        <v>321</v>
      </c>
      <c r="H1197" s="468">
        <v>0.01</v>
      </c>
      <c r="I1197" s="450">
        <v>0.002</v>
      </c>
      <c r="J1197" s="450" t="s">
        <v>322</v>
      </c>
      <c r="K1197" s="469">
        <v>111</v>
      </c>
      <c r="L1197" s="470">
        <v>1</v>
      </c>
      <c r="M1197" s="509"/>
    </row>
    <row r="1198" spans="1:13" ht="12.75">
      <c r="A1198" s="466" t="s">
        <v>318</v>
      </c>
      <c r="B1198" s="450" t="s">
        <v>412</v>
      </c>
      <c r="C1198" s="458" t="s">
        <v>212</v>
      </c>
      <c r="D1198" s="449">
        <v>37743</v>
      </c>
      <c r="E1198" s="450" t="s">
        <v>245</v>
      </c>
      <c r="F1198" s="467">
        <v>0.002</v>
      </c>
      <c r="G1198" s="467" t="s">
        <v>321</v>
      </c>
      <c r="H1198" s="468">
        <v>0.01</v>
      </c>
      <c r="I1198" s="450">
        <v>0.002</v>
      </c>
      <c r="J1198" s="450" t="s">
        <v>322</v>
      </c>
      <c r="K1198" s="469">
        <v>111</v>
      </c>
      <c r="L1198" s="470">
        <v>1</v>
      </c>
      <c r="M1198" s="509"/>
    </row>
    <row r="1199" spans="1:13" ht="12.75">
      <c r="A1199" s="466" t="s">
        <v>318</v>
      </c>
      <c r="B1199" s="450" t="s">
        <v>412</v>
      </c>
      <c r="C1199" s="458" t="s">
        <v>212</v>
      </c>
      <c r="D1199" s="449">
        <v>37897</v>
      </c>
      <c r="E1199" s="450" t="s">
        <v>245</v>
      </c>
      <c r="F1199" s="467">
        <v>0.002</v>
      </c>
      <c r="G1199" s="467" t="s">
        <v>321</v>
      </c>
      <c r="H1199" s="468">
        <v>0.01</v>
      </c>
      <c r="I1199" s="450">
        <v>0.002</v>
      </c>
      <c r="J1199" s="450" t="s">
        <v>322</v>
      </c>
      <c r="K1199" s="469">
        <v>111</v>
      </c>
      <c r="L1199" s="470">
        <v>1</v>
      </c>
      <c r="M1199" s="509"/>
    </row>
    <row r="1200" spans="1:13" ht="12.75">
      <c r="A1200" s="466" t="s">
        <v>318</v>
      </c>
      <c r="B1200" s="450" t="s">
        <v>412</v>
      </c>
      <c r="C1200" s="458" t="s">
        <v>212</v>
      </c>
      <c r="D1200" s="449">
        <v>38113</v>
      </c>
      <c r="E1200" s="450" t="s">
        <v>245</v>
      </c>
      <c r="F1200" s="467">
        <v>0.002</v>
      </c>
      <c r="G1200" s="467" t="s">
        <v>321</v>
      </c>
      <c r="H1200" s="468">
        <v>0.01</v>
      </c>
      <c r="I1200" s="450">
        <v>0.002</v>
      </c>
      <c r="J1200" s="450" t="s">
        <v>322</v>
      </c>
      <c r="K1200" s="469">
        <v>111</v>
      </c>
      <c r="L1200" s="470">
        <v>1</v>
      </c>
      <c r="M1200" s="509"/>
    </row>
    <row r="1201" spans="1:13" ht="12.75">
      <c r="A1201" s="466" t="s">
        <v>318</v>
      </c>
      <c r="B1201" s="450" t="s">
        <v>412</v>
      </c>
      <c r="C1201" s="458" t="s">
        <v>212</v>
      </c>
      <c r="D1201" s="449">
        <v>38273</v>
      </c>
      <c r="E1201" s="450" t="s">
        <v>245</v>
      </c>
      <c r="F1201" s="467">
        <v>0.002</v>
      </c>
      <c r="G1201" s="467" t="s">
        <v>321</v>
      </c>
      <c r="H1201" s="468">
        <v>0.01</v>
      </c>
      <c r="I1201" s="450">
        <v>0.002</v>
      </c>
      <c r="J1201" s="450" t="s">
        <v>322</v>
      </c>
      <c r="K1201" s="469">
        <v>111</v>
      </c>
      <c r="L1201" s="470">
        <v>1</v>
      </c>
      <c r="M1201" s="509"/>
    </row>
    <row r="1202" spans="1:13" ht="12.75">
      <c r="A1202" s="466" t="s">
        <v>318</v>
      </c>
      <c r="B1202" s="450" t="s">
        <v>412</v>
      </c>
      <c r="C1202" s="458" t="s">
        <v>212</v>
      </c>
      <c r="D1202" s="449">
        <v>38477</v>
      </c>
      <c r="E1202" s="450" t="s">
        <v>245</v>
      </c>
      <c r="F1202" s="467">
        <v>0.002</v>
      </c>
      <c r="G1202" s="467" t="s">
        <v>321</v>
      </c>
      <c r="H1202" s="468">
        <v>0.01</v>
      </c>
      <c r="I1202" s="450">
        <v>0.002</v>
      </c>
      <c r="J1202" s="450" t="s">
        <v>322</v>
      </c>
      <c r="K1202" s="469">
        <v>111</v>
      </c>
      <c r="L1202" s="470">
        <v>1</v>
      </c>
      <c r="M1202" s="509"/>
    </row>
    <row r="1203" spans="1:13" ht="12.75">
      <c r="A1203" s="466" t="s">
        <v>318</v>
      </c>
      <c r="B1203" s="450" t="s">
        <v>412</v>
      </c>
      <c r="C1203" s="458" t="s">
        <v>212</v>
      </c>
      <c r="D1203" s="449">
        <v>38638</v>
      </c>
      <c r="E1203" s="450" t="s">
        <v>245</v>
      </c>
      <c r="F1203" s="467">
        <v>0.002</v>
      </c>
      <c r="G1203" s="467" t="s">
        <v>321</v>
      </c>
      <c r="H1203" s="468">
        <v>0.01</v>
      </c>
      <c r="I1203" s="450">
        <v>0.002</v>
      </c>
      <c r="J1203" s="450" t="s">
        <v>322</v>
      </c>
      <c r="K1203" s="469">
        <v>111</v>
      </c>
      <c r="L1203" s="470">
        <v>1</v>
      </c>
      <c r="M1203" s="509"/>
    </row>
    <row r="1204" spans="1:13" ht="12.75">
      <c r="A1204" s="466" t="s">
        <v>318</v>
      </c>
      <c r="B1204" s="450" t="s">
        <v>412</v>
      </c>
      <c r="C1204" s="458" t="s">
        <v>420</v>
      </c>
      <c r="D1204" s="449">
        <v>37173</v>
      </c>
      <c r="E1204" s="450" t="s">
        <v>245</v>
      </c>
      <c r="F1204" s="467">
        <v>0.003</v>
      </c>
      <c r="G1204" s="467" t="s">
        <v>321</v>
      </c>
      <c r="H1204" s="468">
        <v>0.01</v>
      </c>
      <c r="I1204" s="450">
        <v>0.003</v>
      </c>
      <c r="J1204" s="450" t="s">
        <v>322</v>
      </c>
      <c r="K1204" s="469">
        <v>112</v>
      </c>
      <c r="L1204" s="470">
        <v>1</v>
      </c>
      <c r="M1204" s="509"/>
    </row>
    <row r="1205" spans="1:13" ht="12.75">
      <c r="A1205" s="466" t="s">
        <v>318</v>
      </c>
      <c r="B1205" s="450" t="s">
        <v>412</v>
      </c>
      <c r="C1205" s="458" t="s">
        <v>420</v>
      </c>
      <c r="D1205" s="449">
        <v>37386</v>
      </c>
      <c r="E1205" s="450" t="s">
        <v>245</v>
      </c>
      <c r="F1205" s="467">
        <v>0.003</v>
      </c>
      <c r="G1205" s="467" t="s">
        <v>321</v>
      </c>
      <c r="H1205" s="468">
        <v>0.01</v>
      </c>
      <c r="I1205" s="450">
        <v>0.003</v>
      </c>
      <c r="J1205" s="450" t="s">
        <v>322</v>
      </c>
      <c r="K1205" s="469">
        <v>112</v>
      </c>
      <c r="L1205" s="470">
        <v>1</v>
      </c>
      <c r="M1205" s="509"/>
    </row>
    <row r="1206" spans="1:13" ht="12.75">
      <c r="A1206" s="466" t="s">
        <v>318</v>
      </c>
      <c r="B1206" s="450" t="s">
        <v>412</v>
      </c>
      <c r="C1206" s="458" t="s">
        <v>420</v>
      </c>
      <c r="D1206" s="449">
        <v>37537</v>
      </c>
      <c r="E1206" s="450" t="s">
        <v>245</v>
      </c>
      <c r="F1206" s="467">
        <v>0.002</v>
      </c>
      <c r="G1206" s="467" t="s">
        <v>321</v>
      </c>
      <c r="H1206" s="468">
        <v>0.01</v>
      </c>
      <c r="I1206" s="450">
        <v>0.002</v>
      </c>
      <c r="J1206" s="450" t="s">
        <v>322</v>
      </c>
      <c r="K1206" s="469">
        <v>112</v>
      </c>
      <c r="L1206" s="470">
        <v>1</v>
      </c>
      <c r="M1206" s="509"/>
    </row>
    <row r="1207" spans="1:13" ht="12.75">
      <c r="A1207" s="466" t="s">
        <v>318</v>
      </c>
      <c r="B1207" s="450" t="s">
        <v>412</v>
      </c>
      <c r="C1207" s="458" t="s">
        <v>420</v>
      </c>
      <c r="D1207" s="449">
        <v>37743</v>
      </c>
      <c r="E1207" s="450" t="s">
        <v>245</v>
      </c>
      <c r="F1207" s="467">
        <v>0.002</v>
      </c>
      <c r="G1207" s="467" t="s">
        <v>321</v>
      </c>
      <c r="H1207" s="468">
        <v>0.01</v>
      </c>
      <c r="I1207" s="450">
        <v>0.002</v>
      </c>
      <c r="J1207" s="450" t="s">
        <v>322</v>
      </c>
      <c r="K1207" s="469">
        <v>112</v>
      </c>
      <c r="L1207" s="470">
        <v>1</v>
      </c>
      <c r="M1207" s="509"/>
    </row>
    <row r="1208" spans="1:13" ht="12.75">
      <c r="A1208" s="466" t="s">
        <v>318</v>
      </c>
      <c r="B1208" s="450" t="s">
        <v>412</v>
      </c>
      <c r="C1208" s="458" t="s">
        <v>420</v>
      </c>
      <c r="D1208" s="449">
        <v>37897</v>
      </c>
      <c r="E1208" s="450" t="s">
        <v>245</v>
      </c>
      <c r="F1208" s="467">
        <v>0.002</v>
      </c>
      <c r="G1208" s="467" t="s">
        <v>321</v>
      </c>
      <c r="H1208" s="468">
        <v>0.01</v>
      </c>
      <c r="I1208" s="450">
        <v>0.002</v>
      </c>
      <c r="J1208" s="450" t="s">
        <v>322</v>
      </c>
      <c r="K1208" s="469">
        <v>112</v>
      </c>
      <c r="L1208" s="470">
        <v>1</v>
      </c>
      <c r="M1208" s="509"/>
    </row>
    <row r="1209" spans="1:13" ht="12.75">
      <c r="A1209" s="466" t="s">
        <v>318</v>
      </c>
      <c r="B1209" s="450" t="s">
        <v>412</v>
      </c>
      <c r="C1209" s="458" t="s">
        <v>420</v>
      </c>
      <c r="D1209" s="449">
        <v>38113</v>
      </c>
      <c r="E1209" s="450" t="s">
        <v>245</v>
      </c>
      <c r="F1209" s="467">
        <v>0.002</v>
      </c>
      <c r="G1209" s="467" t="s">
        <v>321</v>
      </c>
      <c r="H1209" s="468">
        <v>0.01</v>
      </c>
      <c r="I1209" s="450">
        <v>0.002</v>
      </c>
      <c r="J1209" s="450" t="s">
        <v>322</v>
      </c>
      <c r="K1209" s="469">
        <v>112</v>
      </c>
      <c r="L1209" s="470">
        <v>1</v>
      </c>
      <c r="M1209" s="509"/>
    </row>
    <row r="1210" spans="1:13" ht="12.75">
      <c r="A1210" s="466" t="s">
        <v>318</v>
      </c>
      <c r="B1210" s="450" t="s">
        <v>412</v>
      </c>
      <c r="C1210" s="458" t="s">
        <v>420</v>
      </c>
      <c r="D1210" s="449">
        <v>38273</v>
      </c>
      <c r="E1210" s="450" t="s">
        <v>245</v>
      </c>
      <c r="F1210" s="467">
        <v>0.002</v>
      </c>
      <c r="G1210" s="467" t="s">
        <v>321</v>
      </c>
      <c r="H1210" s="468">
        <v>0.01</v>
      </c>
      <c r="I1210" s="450">
        <v>0.002</v>
      </c>
      <c r="J1210" s="450" t="s">
        <v>322</v>
      </c>
      <c r="K1210" s="469">
        <v>112</v>
      </c>
      <c r="L1210" s="470">
        <v>1</v>
      </c>
      <c r="M1210" s="509"/>
    </row>
    <row r="1211" spans="1:13" ht="12.75">
      <c r="A1211" s="466" t="s">
        <v>318</v>
      </c>
      <c r="B1211" s="450" t="s">
        <v>412</v>
      </c>
      <c r="C1211" s="458" t="s">
        <v>420</v>
      </c>
      <c r="D1211" s="449">
        <v>38477</v>
      </c>
      <c r="E1211" s="450" t="s">
        <v>245</v>
      </c>
      <c r="F1211" s="467">
        <v>0.002</v>
      </c>
      <c r="G1211" s="467" t="s">
        <v>321</v>
      </c>
      <c r="H1211" s="468">
        <v>0.01</v>
      </c>
      <c r="I1211" s="450">
        <v>0.002</v>
      </c>
      <c r="J1211" s="450" t="s">
        <v>322</v>
      </c>
      <c r="K1211" s="469">
        <v>112</v>
      </c>
      <c r="L1211" s="470">
        <v>1</v>
      </c>
      <c r="M1211" s="509"/>
    </row>
    <row r="1212" spans="1:13" ht="12.75">
      <c r="A1212" s="466" t="s">
        <v>318</v>
      </c>
      <c r="B1212" s="450" t="s">
        <v>412</v>
      </c>
      <c r="C1212" s="458" t="s">
        <v>420</v>
      </c>
      <c r="D1212" s="449">
        <v>38638</v>
      </c>
      <c r="E1212" s="450" t="s">
        <v>245</v>
      </c>
      <c r="F1212" s="467">
        <v>0.003</v>
      </c>
      <c r="G1212" s="467" t="s">
        <v>321</v>
      </c>
      <c r="H1212" s="468">
        <v>0.01</v>
      </c>
      <c r="I1212" s="450">
        <v>0.003</v>
      </c>
      <c r="J1212" s="450" t="s">
        <v>322</v>
      </c>
      <c r="K1212" s="469">
        <v>112</v>
      </c>
      <c r="L1212" s="470">
        <v>1</v>
      </c>
      <c r="M1212" s="509"/>
    </row>
    <row r="1213" spans="1:13" ht="12.75">
      <c r="A1213" s="466" t="s">
        <v>318</v>
      </c>
      <c r="B1213" s="450" t="s">
        <v>412</v>
      </c>
      <c r="C1213" s="458" t="s">
        <v>421</v>
      </c>
      <c r="D1213" s="449">
        <v>37173</v>
      </c>
      <c r="E1213" s="450" t="s">
        <v>245</v>
      </c>
      <c r="F1213" s="467">
        <v>0.001</v>
      </c>
      <c r="G1213" s="467" t="s">
        <v>321</v>
      </c>
      <c r="H1213" s="468">
        <v>0.01</v>
      </c>
      <c r="I1213" s="450">
        <v>0.001</v>
      </c>
      <c r="J1213" s="450" t="s">
        <v>322</v>
      </c>
      <c r="K1213" s="469">
        <v>113</v>
      </c>
      <c r="L1213" s="470">
        <v>1</v>
      </c>
      <c r="M1213" s="509"/>
    </row>
    <row r="1214" spans="1:13" ht="12.75">
      <c r="A1214" s="466" t="s">
        <v>318</v>
      </c>
      <c r="B1214" s="450" t="s">
        <v>412</v>
      </c>
      <c r="C1214" s="458" t="s">
        <v>421</v>
      </c>
      <c r="D1214" s="449">
        <v>37386</v>
      </c>
      <c r="E1214" s="450" t="s">
        <v>245</v>
      </c>
      <c r="F1214" s="467">
        <v>0.001</v>
      </c>
      <c r="G1214" s="467" t="s">
        <v>321</v>
      </c>
      <c r="H1214" s="468">
        <v>0.01</v>
      </c>
      <c r="I1214" s="450">
        <v>0.001</v>
      </c>
      <c r="J1214" s="450" t="s">
        <v>322</v>
      </c>
      <c r="K1214" s="469">
        <v>113</v>
      </c>
      <c r="L1214" s="470">
        <v>1</v>
      </c>
      <c r="M1214" s="509"/>
    </row>
    <row r="1215" spans="1:13" ht="12.75">
      <c r="A1215" s="466" t="s">
        <v>318</v>
      </c>
      <c r="B1215" s="450" t="s">
        <v>412</v>
      </c>
      <c r="C1215" s="458" t="s">
        <v>421</v>
      </c>
      <c r="D1215" s="449">
        <v>37537</v>
      </c>
      <c r="E1215" s="450" t="s">
        <v>245</v>
      </c>
      <c r="F1215" s="467">
        <v>0.002</v>
      </c>
      <c r="G1215" s="467" t="s">
        <v>321</v>
      </c>
      <c r="H1215" s="468">
        <v>0.01</v>
      </c>
      <c r="I1215" s="450">
        <v>0.002</v>
      </c>
      <c r="J1215" s="450" t="s">
        <v>322</v>
      </c>
      <c r="K1215" s="469">
        <v>113</v>
      </c>
      <c r="L1215" s="470">
        <v>1</v>
      </c>
      <c r="M1215" s="509"/>
    </row>
    <row r="1216" spans="1:13" ht="12.75">
      <c r="A1216" s="466" t="s">
        <v>318</v>
      </c>
      <c r="B1216" s="450" t="s">
        <v>412</v>
      </c>
      <c r="C1216" s="458" t="s">
        <v>421</v>
      </c>
      <c r="D1216" s="449">
        <v>37743</v>
      </c>
      <c r="E1216" s="450" t="s">
        <v>245</v>
      </c>
      <c r="F1216" s="467">
        <v>0.002</v>
      </c>
      <c r="G1216" s="467" t="s">
        <v>321</v>
      </c>
      <c r="H1216" s="468">
        <v>0.01</v>
      </c>
      <c r="I1216" s="450">
        <v>0.002</v>
      </c>
      <c r="J1216" s="450" t="s">
        <v>322</v>
      </c>
      <c r="K1216" s="469">
        <v>113</v>
      </c>
      <c r="L1216" s="470">
        <v>1</v>
      </c>
      <c r="M1216" s="509"/>
    </row>
    <row r="1217" spans="1:13" ht="12.75">
      <c r="A1217" s="466" t="s">
        <v>318</v>
      </c>
      <c r="B1217" s="450" t="s">
        <v>412</v>
      </c>
      <c r="C1217" s="458" t="s">
        <v>421</v>
      </c>
      <c r="D1217" s="449">
        <v>37897</v>
      </c>
      <c r="E1217" s="450" t="s">
        <v>245</v>
      </c>
      <c r="F1217" s="467">
        <v>0.002</v>
      </c>
      <c r="G1217" s="467" t="s">
        <v>321</v>
      </c>
      <c r="H1217" s="468">
        <v>0.01</v>
      </c>
      <c r="I1217" s="450">
        <v>0.002</v>
      </c>
      <c r="J1217" s="450" t="s">
        <v>322</v>
      </c>
      <c r="K1217" s="469">
        <v>113</v>
      </c>
      <c r="L1217" s="470">
        <v>1</v>
      </c>
      <c r="M1217" s="509"/>
    </row>
    <row r="1218" spans="1:13" ht="12.75">
      <c r="A1218" s="466" t="s">
        <v>318</v>
      </c>
      <c r="B1218" s="450" t="s">
        <v>412</v>
      </c>
      <c r="C1218" s="458" t="s">
        <v>421</v>
      </c>
      <c r="D1218" s="449">
        <v>38113</v>
      </c>
      <c r="E1218" s="450" t="s">
        <v>245</v>
      </c>
      <c r="F1218" s="467">
        <v>0.002</v>
      </c>
      <c r="G1218" s="467" t="s">
        <v>321</v>
      </c>
      <c r="H1218" s="468">
        <v>0.01</v>
      </c>
      <c r="I1218" s="450">
        <v>0.002</v>
      </c>
      <c r="J1218" s="450" t="s">
        <v>322</v>
      </c>
      <c r="K1218" s="469">
        <v>113</v>
      </c>
      <c r="L1218" s="470">
        <v>1</v>
      </c>
      <c r="M1218" s="509"/>
    </row>
    <row r="1219" spans="1:13" ht="12.75">
      <c r="A1219" s="466" t="s">
        <v>318</v>
      </c>
      <c r="B1219" s="450" t="s">
        <v>412</v>
      </c>
      <c r="C1219" s="458" t="s">
        <v>421</v>
      </c>
      <c r="D1219" s="449">
        <v>38273</v>
      </c>
      <c r="E1219" s="450" t="s">
        <v>245</v>
      </c>
      <c r="F1219" s="467">
        <v>0.002</v>
      </c>
      <c r="G1219" s="467" t="s">
        <v>321</v>
      </c>
      <c r="H1219" s="468">
        <v>0.01</v>
      </c>
      <c r="I1219" s="450">
        <v>0.002</v>
      </c>
      <c r="J1219" s="450" t="s">
        <v>322</v>
      </c>
      <c r="K1219" s="469">
        <v>113</v>
      </c>
      <c r="L1219" s="470">
        <v>1</v>
      </c>
      <c r="M1219" s="509"/>
    </row>
    <row r="1220" spans="1:13" ht="12.75">
      <c r="A1220" s="466" t="s">
        <v>318</v>
      </c>
      <c r="B1220" s="450" t="s">
        <v>412</v>
      </c>
      <c r="C1220" s="458" t="s">
        <v>421</v>
      </c>
      <c r="D1220" s="449">
        <v>38477</v>
      </c>
      <c r="E1220" s="450" t="s">
        <v>245</v>
      </c>
      <c r="F1220" s="467">
        <v>0.002</v>
      </c>
      <c r="G1220" s="467" t="s">
        <v>321</v>
      </c>
      <c r="H1220" s="468">
        <v>0.01</v>
      </c>
      <c r="I1220" s="450">
        <v>0.002</v>
      </c>
      <c r="J1220" s="450" t="s">
        <v>322</v>
      </c>
      <c r="K1220" s="469">
        <v>113</v>
      </c>
      <c r="L1220" s="470">
        <v>1</v>
      </c>
      <c r="M1220" s="509"/>
    </row>
    <row r="1221" spans="1:13" ht="12.75">
      <c r="A1221" s="466" t="s">
        <v>318</v>
      </c>
      <c r="B1221" s="450" t="s">
        <v>412</v>
      </c>
      <c r="C1221" s="458" t="s">
        <v>421</v>
      </c>
      <c r="D1221" s="449">
        <v>38638</v>
      </c>
      <c r="E1221" s="450" t="s">
        <v>245</v>
      </c>
      <c r="F1221" s="467">
        <v>0.002</v>
      </c>
      <c r="G1221" s="467" t="s">
        <v>321</v>
      </c>
      <c r="H1221" s="468">
        <v>0.01</v>
      </c>
      <c r="I1221" s="450">
        <v>0.002</v>
      </c>
      <c r="J1221" s="450" t="s">
        <v>322</v>
      </c>
      <c r="K1221" s="469">
        <v>113</v>
      </c>
      <c r="L1221" s="470">
        <v>1</v>
      </c>
      <c r="M1221" s="509"/>
    </row>
    <row r="1222" spans="1:13" ht="12.75">
      <c r="A1222" s="466" t="s">
        <v>318</v>
      </c>
      <c r="B1222" s="450" t="s">
        <v>412</v>
      </c>
      <c r="C1222" s="458" t="s">
        <v>422</v>
      </c>
      <c r="D1222" s="449">
        <v>37173</v>
      </c>
      <c r="E1222" s="450" t="s">
        <v>245</v>
      </c>
      <c r="F1222" s="467">
        <v>0.001</v>
      </c>
      <c r="G1222" s="467" t="s">
        <v>321</v>
      </c>
      <c r="H1222" s="468">
        <v>0.01</v>
      </c>
      <c r="I1222" s="450">
        <v>0.001</v>
      </c>
      <c r="J1222" s="450" t="s">
        <v>322</v>
      </c>
      <c r="K1222" s="469">
        <v>114</v>
      </c>
      <c r="L1222" s="470">
        <v>1</v>
      </c>
      <c r="M1222" s="509"/>
    </row>
    <row r="1223" spans="1:13" ht="12.75">
      <c r="A1223" s="466" t="s">
        <v>318</v>
      </c>
      <c r="B1223" s="450" t="s">
        <v>412</v>
      </c>
      <c r="C1223" s="458" t="s">
        <v>422</v>
      </c>
      <c r="D1223" s="449">
        <v>37386</v>
      </c>
      <c r="E1223" s="450" t="s">
        <v>245</v>
      </c>
      <c r="F1223" s="467">
        <v>0.001</v>
      </c>
      <c r="G1223" s="467" t="s">
        <v>321</v>
      </c>
      <c r="H1223" s="468">
        <v>0.01</v>
      </c>
      <c r="I1223" s="450">
        <v>0.001</v>
      </c>
      <c r="J1223" s="450" t="s">
        <v>322</v>
      </c>
      <c r="K1223" s="469">
        <v>114</v>
      </c>
      <c r="L1223" s="470">
        <v>1</v>
      </c>
      <c r="M1223" s="509"/>
    </row>
    <row r="1224" spans="1:13" ht="12.75">
      <c r="A1224" s="466" t="s">
        <v>318</v>
      </c>
      <c r="B1224" s="450" t="s">
        <v>412</v>
      </c>
      <c r="C1224" s="458" t="s">
        <v>422</v>
      </c>
      <c r="D1224" s="449">
        <v>37537</v>
      </c>
      <c r="E1224" s="450" t="s">
        <v>245</v>
      </c>
      <c r="F1224" s="467">
        <v>0.002</v>
      </c>
      <c r="G1224" s="467" t="s">
        <v>321</v>
      </c>
      <c r="H1224" s="468">
        <v>0.01</v>
      </c>
      <c r="I1224" s="450">
        <v>0.002</v>
      </c>
      <c r="J1224" s="450" t="s">
        <v>322</v>
      </c>
      <c r="K1224" s="469">
        <v>114</v>
      </c>
      <c r="L1224" s="470">
        <v>1</v>
      </c>
      <c r="M1224" s="509"/>
    </row>
    <row r="1225" spans="1:13" ht="12.75">
      <c r="A1225" s="466" t="s">
        <v>318</v>
      </c>
      <c r="B1225" s="450" t="s">
        <v>412</v>
      </c>
      <c r="C1225" s="458" t="s">
        <v>422</v>
      </c>
      <c r="D1225" s="449">
        <v>37743</v>
      </c>
      <c r="E1225" s="450" t="s">
        <v>245</v>
      </c>
      <c r="F1225" s="467">
        <v>0.002</v>
      </c>
      <c r="G1225" s="467" t="s">
        <v>321</v>
      </c>
      <c r="H1225" s="468">
        <v>0.01</v>
      </c>
      <c r="I1225" s="450">
        <v>0.002</v>
      </c>
      <c r="J1225" s="450" t="s">
        <v>322</v>
      </c>
      <c r="K1225" s="469">
        <v>114</v>
      </c>
      <c r="L1225" s="470">
        <v>1</v>
      </c>
      <c r="M1225" s="509"/>
    </row>
    <row r="1226" spans="1:13" ht="12.75">
      <c r="A1226" s="466" t="s">
        <v>318</v>
      </c>
      <c r="B1226" s="450" t="s">
        <v>412</v>
      </c>
      <c r="C1226" s="458" t="s">
        <v>422</v>
      </c>
      <c r="D1226" s="449">
        <v>37897</v>
      </c>
      <c r="E1226" s="450" t="s">
        <v>245</v>
      </c>
      <c r="F1226" s="467">
        <v>0.002</v>
      </c>
      <c r="G1226" s="467" t="s">
        <v>321</v>
      </c>
      <c r="H1226" s="468">
        <v>0.01</v>
      </c>
      <c r="I1226" s="450">
        <v>0.002</v>
      </c>
      <c r="J1226" s="450" t="s">
        <v>322</v>
      </c>
      <c r="K1226" s="469">
        <v>114</v>
      </c>
      <c r="L1226" s="470">
        <v>1</v>
      </c>
      <c r="M1226" s="509"/>
    </row>
    <row r="1227" spans="1:13" ht="12.75">
      <c r="A1227" s="466" t="s">
        <v>318</v>
      </c>
      <c r="B1227" s="450" t="s">
        <v>412</v>
      </c>
      <c r="C1227" s="458" t="s">
        <v>422</v>
      </c>
      <c r="D1227" s="449">
        <v>38113</v>
      </c>
      <c r="E1227" s="450" t="s">
        <v>245</v>
      </c>
      <c r="F1227" s="467">
        <v>0.002</v>
      </c>
      <c r="G1227" s="467" t="s">
        <v>321</v>
      </c>
      <c r="H1227" s="468">
        <v>0.01</v>
      </c>
      <c r="I1227" s="450">
        <v>0.002</v>
      </c>
      <c r="J1227" s="450" t="s">
        <v>322</v>
      </c>
      <c r="K1227" s="469">
        <v>114</v>
      </c>
      <c r="L1227" s="470">
        <v>1</v>
      </c>
      <c r="M1227" s="509"/>
    </row>
    <row r="1228" spans="1:13" ht="12.75">
      <c r="A1228" s="466" t="s">
        <v>318</v>
      </c>
      <c r="B1228" s="450" t="s">
        <v>412</v>
      </c>
      <c r="C1228" s="458" t="s">
        <v>422</v>
      </c>
      <c r="D1228" s="449">
        <v>38273</v>
      </c>
      <c r="E1228" s="450" t="s">
        <v>245</v>
      </c>
      <c r="F1228" s="467">
        <v>0.003</v>
      </c>
      <c r="G1228" s="467" t="s">
        <v>321</v>
      </c>
      <c r="H1228" s="468">
        <v>0.01</v>
      </c>
      <c r="I1228" s="450">
        <v>0.003</v>
      </c>
      <c r="J1228" s="450" t="s">
        <v>322</v>
      </c>
      <c r="K1228" s="469">
        <v>114</v>
      </c>
      <c r="L1228" s="470">
        <v>1</v>
      </c>
      <c r="M1228" s="509"/>
    </row>
    <row r="1229" spans="1:13" ht="12.75">
      <c r="A1229" s="466" t="s">
        <v>318</v>
      </c>
      <c r="B1229" s="450" t="s">
        <v>412</v>
      </c>
      <c r="C1229" s="458" t="s">
        <v>422</v>
      </c>
      <c r="D1229" s="449">
        <v>38477</v>
      </c>
      <c r="E1229" s="450" t="s">
        <v>245</v>
      </c>
      <c r="F1229" s="467">
        <v>0.0029</v>
      </c>
      <c r="G1229" s="467" t="s">
        <v>321</v>
      </c>
      <c r="H1229" s="468">
        <v>0.01</v>
      </c>
      <c r="I1229" s="450">
        <v>0.0029</v>
      </c>
      <c r="J1229" s="450" t="s">
        <v>322</v>
      </c>
      <c r="K1229" s="469">
        <v>114</v>
      </c>
      <c r="L1229" s="470">
        <v>1</v>
      </c>
      <c r="M1229" s="509"/>
    </row>
    <row r="1230" spans="1:13" ht="12.75">
      <c r="A1230" s="466" t="s">
        <v>318</v>
      </c>
      <c r="B1230" s="450" t="s">
        <v>412</v>
      </c>
      <c r="C1230" s="458" t="s">
        <v>422</v>
      </c>
      <c r="D1230" s="449">
        <v>38638</v>
      </c>
      <c r="E1230" s="450" t="s">
        <v>245</v>
      </c>
      <c r="F1230" s="467">
        <v>0.002</v>
      </c>
      <c r="G1230" s="467" t="s">
        <v>321</v>
      </c>
      <c r="H1230" s="468">
        <v>0.01</v>
      </c>
      <c r="I1230" s="450">
        <v>0.002</v>
      </c>
      <c r="J1230" s="450" t="s">
        <v>322</v>
      </c>
      <c r="K1230" s="469">
        <v>114</v>
      </c>
      <c r="L1230" s="470">
        <v>1</v>
      </c>
      <c r="M1230" s="509"/>
    </row>
    <row r="1231" spans="1:13" ht="12.75">
      <c r="A1231" s="466" t="s">
        <v>318</v>
      </c>
      <c r="B1231" s="450" t="s">
        <v>412</v>
      </c>
      <c r="C1231" s="458" t="s">
        <v>135</v>
      </c>
      <c r="D1231" s="449">
        <v>37173</v>
      </c>
      <c r="E1231" s="450" t="s">
        <v>245</v>
      </c>
      <c r="F1231" s="467">
        <v>0.002</v>
      </c>
      <c r="G1231" s="467" t="s">
        <v>321</v>
      </c>
      <c r="H1231" s="468">
        <v>0.01</v>
      </c>
      <c r="I1231" s="450">
        <v>0.002</v>
      </c>
      <c r="J1231" s="450" t="s">
        <v>322</v>
      </c>
      <c r="K1231" s="469">
        <v>115</v>
      </c>
      <c r="L1231" s="470">
        <v>1</v>
      </c>
      <c r="M1231" s="509"/>
    </row>
    <row r="1232" spans="1:13" ht="12.75">
      <c r="A1232" s="466" t="s">
        <v>318</v>
      </c>
      <c r="B1232" s="450" t="s">
        <v>412</v>
      </c>
      <c r="C1232" s="458" t="s">
        <v>135</v>
      </c>
      <c r="D1232" s="449">
        <v>37386</v>
      </c>
      <c r="E1232" s="450" t="s">
        <v>245</v>
      </c>
      <c r="F1232" s="467">
        <v>0.002</v>
      </c>
      <c r="G1232" s="467" t="s">
        <v>321</v>
      </c>
      <c r="H1232" s="468">
        <v>0.01</v>
      </c>
      <c r="I1232" s="450">
        <v>0.002</v>
      </c>
      <c r="J1232" s="450" t="s">
        <v>322</v>
      </c>
      <c r="K1232" s="469">
        <v>115</v>
      </c>
      <c r="L1232" s="470">
        <v>1</v>
      </c>
      <c r="M1232" s="509"/>
    </row>
    <row r="1233" spans="1:13" ht="12.75">
      <c r="A1233" s="466" t="s">
        <v>318</v>
      </c>
      <c r="B1233" s="450" t="s">
        <v>412</v>
      </c>
      <c r="C1233" s="458" t="s">
        <v>135</v>
      </c>
      <c r="D1233" s="449">
        <v>37537</v>
      </c>
      <c r="E1233" s="450" t="s">
        <v>245</v>
      </c>
      <c r="F1233" s="467">
        <v>0.002</v>
      </c>
      <c r="G1233" s="467" t="s">
        <v>321</v>
      </c>
      <c r="H1233" s="468">
        <v>0.01</v>
      </c>
      <c r="I1233" s="450">
        <v>0.002</v>
      </c>
      <c r="J1233" s="450" t="s">
        <v>322</v>
      </c>
      <c r="K1233" s="469">
        <v>115</v>
      </c>
      <c r="L1233" s="470">
        <v>1</v>
      </c>
      <c r="M1233" s="509"/>
    </row>
    <row r="1234" spans="1:13" ht="12.75">
      <c r="A1234" s="466" t="s">
        <v>318</v>
      </c>
      <c r="B1234" s="450" t="s">
        <v>412</v>
      </c>
      <c r="C1234" s="458" t="s">
        <v>135</v>
      </c>
      <c r="D1234" s="449">
        <v>37743</v>
      </c>
      <c r="E1234" s="450" t="s">
        <v>245</v>
      </c>
      <c r="F1234" s="467">
        <v>0.002</v>
      </c>
      <c r="G1234" s="467" t="s">
        <v>321</v>
      </c>
      <c r="H1234" s="468">
        <v>0.01</v>
      </c>
      <c r="I1234" s="450">
        <v>0.002</v>
      </c>
      <c r="J1234" s="450" t="s">
        <v>322</v>
      </c>
      <c r="K1234" s="469">
        <v>115</v>
      </c>
      <c r="L1234" s="470">
        <v>1</v>
      </c>
      <c r="M1234" s="509"/>
    </row>
    <row r="1235" spans="1:13" ht="12.75">
      <c r="A1235" s="466" t="s">
        <v>318</v>
      </c>
      <c r="B1235" s="450" t="s">
        <v>412</v>
      </c>
      <c r="C1235" s="458" t="s">
        <v>135</v>
      </c>
      <c r="D1235" s="449">
        <v>37897</v>
      </c>
      <c r="E1235" s="450" t="s">
        <v>245</v>
      </c>
      <c r="F1235" s="467">
        <v>0.002</v>
      </c>
      <c r="G1235" s="467" t="s">
        <v>321</v>
      </c>
      <c r="H1235" s="468">
        <v>0.01</v>
      </c>
      <c r="I1235" s="450">
        <v>0.002</v>
      </c>
      <c r="J1235" s="450" t="s">
        <v>322</v>
      </c>
      <c r="K1235" s="469">
        <v>115</v>
      </c>
      <c r="L1235" s="470">
        <v>1</v>
      </c>
      <c r="M1235" s="509"/>
    </row>
    <row r="1236" spans="1:13" ht="12.75">
      <c r="A1236" s="466" t="s">
        <v>318</v>
      </c>
      <c r="B1236" s="450" t="s">
        <v>412</v>
      </c>
      <c r="C1236" s="458" t="s">
        <v>135</v>
      </c>
      <c r="D1236" s="449">
        <v>38113</v>
      </c>
      <c r="E1236" s="450" t="s">
        <v>245</v>
      </c>
      <c r="F1236" s="467">
        <v>0.002</v>
      </c>
      <c r="G1236" s="467" t="s">
        <v>321</v>
      </c>
      <c r="H1236" s="468">
        <v>0.01</v>
      </c>
      <c r="I1236" s="450">
        <v>0.002</v>
      </c>
      <c r="J1236" s="450" t="s">
        <v>322</v>
      </c>
      <c r="K1236" s="469">
        <v>115</v>
      </c>
      <c r="L1236" s="470">
        <v>1</v>
      </c>
      <c r="M1236" s="509"/>
    </row>
    <row r="1237" spans="1:13" ht="12.75">
      <c r="A1237" s="466" t="s">
        <v>318</v>
      </c>
      <c r="B1237" s="450" t="s">
        <v>412</v>
      </c>
      <c r="C1237" s="458" t="s">
        <v>135</v>
      </c>
      <c r="D1237" s="449">
        <v>38273</v>
      </c>
      <c r="E1237" s="450" t="s">
        <v>245</v>
      </c>
      <c r="F1237" s="467">
        <v>0.002</v>
      </c>
      <c r="G1237" s="467" t="s">
        <v>321</v>
      </c>
      <c r="H1237" s="468">
        <v>0.01</v>
      </c>
      <c r="I1237" s="450">
        <v>0.002</v>
      </c>
      <c r="J1237" s="450" t="s">
        <v>322</v>
      </c>
      <c r="K1237" s="469">
        <v>115</v>
      </c>
      <c r="L1237" s="470">
        <v>1</v>
      </c>
      <c r="M1237" s="509"/>
    </row>
    <row r="1238" spans="1:13" ht="12.75">
      <c r="A1238" s="466" t="s">
        <v>318</v>
      </c>
      <c r="B1238" s="450" t="s">
        <v>412</v>
      </c>
      <c r="C1238" s="458" t="s">
        <v>135</v>
      </c>
      <c r="D1238" s="449">
        <v>38477</v>
      </c>
      <c r="E1238" s="450" t="s">
        <v>245</v>
      </c>
      <c r="F1238" s="467">
        <v>0.002</v>
      </c>
      <c r="G1238" s="467" t="s">
        <v>321</v>
      </c>
      <c r="H1238" s="468">
        <v>0.01</v>
      </c>
      <c r="I1238" s="450">
        <v>0.002</v>
      </c>
      <c r="J1238" s="450" t="s">
        <v>322</v>
      </c>
      <c r="K1238" s="469">
        <v>115</v>
      </c>
      <c r="L1238" s="470">
        <v>1</v>
      </c>
      <c r="M1238" s="509"/>
    </row>
    <row r="1239" spans="1:13" ht="12.75">
      <c r="A1239" s="466" t="s">
        <v>318</v>
      </c>
      <c r="B1239" s="450" t="s">
        <v>412</v>
      </c>
      <c r="C1239" s="458" t="s">
        <v>135</v>
      </c>
      <c r="D1239" s="449">
        <v>38638</v>
      </c>
      <c r="E1239" s="450" t="s">
        <v>245</v>
      </c>
      <c r="F1239" s="467">
        <v>0.002</v>
      </c>
      <c r="G1239" s="467" t="s">
        <v>321</v>
      </c>
      <c r="H1239" s="468">
        <v>0.01</v>
      </c>
      <c r="I1239" s="450">
        <v>0.002</v>
      </c>
      <c r="J1239" s="450" t="s">
        <v>322</v>
      </c>
      <c r="K1239" s="469">
        <v>115</v>
      </c>
      <c r="L1239" s="470">
        <v>1</v>
      </c>
      <c r="M1239" s="509"/>
    </row>
    <row r="1240" spans="1:13" ht="12.75">
      <c r="A1240" s="466" t="s">
        <v>318</v>
      </c>
      <c r="B1240" s="450" t="s">
        <v>412</v>
      </c>
      <c r="C1240" s="458" t="s">
        <v>423</v>
      </c>
      <c r="D1240" s="449">
        <v>37173</v>
      </c>
      <c r="E1240" s="450" t="s">
        <v>245</v>
      </c>
      <c r="F1240" s="467">
        <v>0.002</v>
      </c>
      <c r="G1240" s="467" t="s">
        <v>321</v>
      </c>
      <c r="H1240" s="468">
        <v>0.01</v>
      </c>
      <c r="I1240" s="450">
        <v>0.002</v>
      </c>
      <c r="J1240" s="450" t="s">
        <v>322</v>
      </c>
      <c r="K1240" s="469">
        <v>116</v>
      </c>
      <c r="L1240" s="470">
        <v>1</v>
      </c>
      <c r="M1240" s="509"/>
    </row>
    <row r="1241" spans="1:13" ht="12.75">
      <c r="A1241" s="466" t="s">
        <v>318</v>
      </c>
      <c r="B1241" s="450" t="s">
        <v>412</v>
      </c>
      <c r="C1241" s="458" t="s">
        <v>423</v>
      </c>
      <c r="D1241" s="449">
        <v>37386</v>
      </c>
      <c r="E1241" s="450" t="s">
        <v>245</v>
      </c>
      <c r="F1241" s="467">
        <v>0.002</v>
      </c>
      <c r="G1241" s="467" t="s">
        <v>321</v>
      </c>
      <c r="H1241" s="468">
        <v>0.01</v>
      </c>
      <c r="I1241" s="450">
        <v>0.002</v>
      </c>
      <c r="J1241" s="450" t="s">
        <v>322</v>
      </c>
      <c r="K1241" s="469">
        <v>116</v>
      </c>
      <c r="L1241" s="470">
        <v>1</v>
      </c>
      <c r="M1241" s="509"/>
    </row>
    <row r="1242" spans="1:13" ht="12.75">
      <c r="A1242" s="466" t="s">
        <v>318</v>
      </c>
      <c r="B1242" s="450" t="s">
        <v>412</v>
      </c>
      <c r="C1242" s="458" t="s">
        <v>423</v>
      </c>
      <c r="D1242" s="449">
        <v>37537</v>
      </c>
      <c r="E1242" s="450" t="s">
        <v>245</v>
      </c>
      <c r="F1242" s="467">
        <v>0.002</v>
      </c>
      <c r="G1242" s="467" t="s">
        <v>321</v>
      </c>
      <c r="H1242" s="468">
        <v>0.01</v>
      </c>
      <c r="I1242" s="450">
        <v>0.002</v>
      </c>
      <c r="J1242" s="450" t="s">
        <v>322</v>
      </c>
      <c r="K1242" s="469">
        <v>116</v>
      </c>
      <c r="L1242" s="470">
        <v>1</v>
      </c>
      <c r="M1242" s="509"/>
    </row>
    <row r="1243" spans="1:13" ht="12.75">
      <c r="A1243" s="466" t="s">
        <v>318</v>
      </c>
      <c r="B1243" s="450" t="s">
        <v>412</v>
      </c>
      <c r="C1243" s="458" t="s">
        <v>423</v>
      </c>
      <c r="D1243" s="449">
        <v>37743</v>
      </c>
      <c r="E1243" s="450" t="s">
        <v>245</v>
      </c>
      <c r="F1243" s="467">
        <v>0.002</v>
      </c>
      <c r="G1243" s="467" t="s">
        <v>321</v>
      </c>
      <c r="H1243" s="468">
        <v>0.01</v>
      </c>
      <c r="I1243" s="450">
        <v>0.002</v>
      </c>
      <c r="J1243" s="450" t="s">
        <v>322</v>
      </c>
      <c r="K1243" s="469">
        <v>116</v>
      </c>
      <c r="L1243" s="470">
        <v>1</v>
      </c>
      <c r="M1243" s="509"/>
    </row>
    <row r="1244" spans="1:13" ht="12.75">
      <c r="A1244" s="466" t="s">
        <v>318</v>
      </c>
      <c r="B1244" s="450" t="s">
        <v>412</v>
      </c>
      <c r="C1244" s="458" t="s">
        <v>423</v>
      </c>
      <c r="D1244" s="449">
        <v>37897</v>
      </c>
      <c r="E1244" s="450" t="s">
        <v>245</v>
      </c>
      <c r="F1244" s="467">
        <v>0.002</v>
      </c>
      <c r="G1244" s="467" t="s">
        <v>321</v>
      </c>
      <c r="H1244" s="468">
        <v>0.01</v>
      </c>
      <c r="I1244" s="450">
        <v>0.002</v>
      </c>
      <c r="J1244" s="450" t="s">
        <v>322</v>
      </c>
      <c r="K1244" s="469">
        <v>116</v>
      </c>
      <c r="L1244" s="470">
        <v>1</v>
      </c>
      <c r="M1244" s="509"/>
    </row>
    <row r="1245" spans="1:13" ht="12.75">
      <c r="A1245" s="466" t="s">
        <v>318</v>
      </c>
      <c r="B1245" s="450" t="s">
        <v>412</v>
      </c>
      <c r="C1245" s="458" t="s">
        <v>423</v>
      </c>
      <c r="D1245" s="449">
        <v>38113</v>
      </c>
      <c r="E1245" s="450" t="s">
        <v>245</v>
      </c>
      <c r="F1245" s="467">
        <v>0.002</v>
      </c>
      <c r="G1245" s="467" t="s">
        <v>321</v>
      </c>
      <c r="H1245" s="468">
        <v>0.01</v>
      </c>
      <c r="I1245" s="450">
        <v>0.002</v>
      </c>
      <c r="J1245" s="450" t="s">
        <v>322</v>
      </c>
      <c r="K1245" s="469">
        <v>116</v>
      </c>
      <c r="L1245" s="470">
        <v>1</v>
      </c>
      <c r="M1245" s="509"/>
    </row>
    <row r="1246" spans="1:13" ht="12.75">
      <c r="A1246" s="466" t="s">
        <v>318</v>
      </c>
      <c r="B1246" s="450" t="s">
        <v>412</v>
      </c>
      <c r="C1246" s="458" t="s">
        <v>423</v>
      </c>
      <c r="D1246" s="449">
        <v>38273</v>
      </c>
      <c r="E1246" s="450" t="s">
        <v>245</v>
      </c>
      <c r="F1246" s="467">
        <v>0.003</v>
      </c>
      <c r="G1246" s="467" t="s">
        <v>321</v>
      </c>
      <c r="H1246" s="468">
        <v>0.01</v>
      </c>
      <c r="I1246" s="450">
        <v>0.003</v>
      </c>
      <c r="J1246" s="450" t="s">
        <v>322</v>
      </c>
      <c r="K1246" s="469">
        <v>116</v>
      </c>
      <c r="L1246" s="470">
        <v>1</v>
      </c>
      <c r="M1246" s="509"/>
    </row>
    <row r="1247" spans="1:13" ht="12.75">
      <c r="A1247" s="466" t="s">
        <v>318</v>
      </c>
      <c r="B1247" s="450" t="s">
        <v>412</v>
      </c>
      <c r="C1247" s="458" t="s">
        <v>423</v>
      </c>
      <c r="D1247" s="449">
        <v>38477</v>
      </c>
      <c r="E1247" s="450" t="s">
        <v>245</v>
      </c>
      <c r="F1247" s="467">
        <v>0.0029</v>
      </c>
      <c r="G1247" s="467" t="s">
        <v>321</v>
      </c>
      <c r="H1247" s="468">
        <v>0.01</v>
      </c>
      <c r="I1247" s="450">
        <v>0.0029</v>
      </c>
      <c r="J1247" s="450" t="s">
        <v>322</v>
      </c>
      <c r="K1247" s="469">
        <v>116</v>
      </c>
      <c r="L1247" s="470">
        <v>1</v>
      </c>
      <c r="M1247" s="509"/>
    </row>
    <row r="1248" spans="1:13" ht="12.75">
      <c r="A1248" s="466" t="s">
        <v>318</v>
      </c>
      <c r="B1248" s="450" t="s">
        <v>412</v>
      </c>
      <c r="C1248" s="458" t="s">
        <v>423</v>
      </c>
      <c r="D1248" s="449">
        <v>38638</v>
      </c>
      <c r="E1248" s="450" t="s">
        <v>245</v>
      </c>
      <c r="F1248" s="467">
        <v>0.003</v>
      </c>
      <c r="G1248" s="467" t="s">
        <v>321</v>
      </c>
      <c r="H1248" s="468">
        <v>0.01</v>
      </c>
      <c r="I1248" s="450">
        <v>0.003</v>
      </c>
      <c r="J1248" s="450" t="s">
        <v>322</v>
      </c>
      <c r="K1248" s="469">
        <v>116</v>
      </c>
      <c r="L1248" s="470">
        <v>1</v>
      </c>
      <c r="M1248" s="509"/>
    </row>
    <row r="1249" spans="1:13" ht="12.75">
      <c r="A1249" s="466" t="s">
        <v>318</v>
      </c>
      <c r="B1249" s="450" t="s">
        <v>412</v>
      </c>
      <c r="C1249" s="458" t="s">
        <v>137</v>
      </c>
      <c r="D1249" s="449">
        <v>37173</v>
      </c>
      <c r="E1249" s="450" t="s">
        <v>245</v>
      </c>
      <c r="F1249" s="467">
        <v>0.003</v>
      </c>
      <c r="G1249" s="467" t="s">
        <v>321</v>
      </c>
      <c r="H1249" s="468">
        <v>0.01</v>
      </c>
      <c r="I1249" s="450">
        <v>0.003</v>
      </c>
      <c r="J1249" s="450" t="s">
        <v>322</v>
      </c>
      <c r="K1249" s="469">
        <v>117</v>
      </c>
      <c r="L1249" s="470">
        <v>1</v>
      </c>
      <c r="M1249" s="509"/>
    </row>
    <row r="1250" spans="1:13" ht="12.75">
      <c r="A1250" s="466" t="s">
        <v>318</v>
      </c>
      <c r="B1250" s="450" t="s">
        <v>412</v>
      </c>
      <c r="C1250" s="458" t="s">
        <v>137</v>
      </c>
      <c r="D1250" s="449">
        <v>37386</v>
      </c>
      <c r="E1250" s="450" t="s">
        <v>245</v>
      </c>
      <c r="F1250" s="467">
        <v>0.003</v>
      </c>
      <c r="G1250" s="467" t="s">
        <v>321</v>
      </c>
      <c r="H1250" s="468">
        <v>0.01</v>
      </c>
      <c r="I1250" s="450">
        <v>0.003</v>
      </c>
      <c r="J1250" s="450" t="s">
        <v>322</v>
      </c>
      <c r="K1250" s="469">
        <v>117</v>
      </c>
      <c r="L1250" s="470">
        <v>1</v>
      </c>
      <c r="M1250" s="509"/>
    </row>
    <row r="1251" spans="1:13" ht="12.75">
      <c r="A1251" s="466" t="s">
        <v>318</v>
      </c>
      <c r="B1251" s="450" t="s">
        <v>412</v>
      </c>
      <c r="C1251" s="458" t="s">
        <v>137</v>
      </c>
      <c r="D1251" s="449">
        <v>37537</v>
      </c>
      <c r="E1251" s="450" t="s">
        <v>245</v>
      </c>
      <c r="F1251" s="467">
        <v>0.003</v>
      </c>
      <c r="G1251" s="467" t="s">
        <v>321</v>
      </c>
      <c r="H1251" s="468">
        <v>0.01</v>
      </c>
      <c r="I1251" s="450">
        <v>0.003</v>
      </c>
      <c r="J1251" s="450" t="s">
        <v>322</v>
      </c>
      <c r="K1251" s="469">
        <v>117</v>
      </c>
      <c r="L1251" s="470">
        <v>1</v>
      </c>
      <c r="M1251" s="509"/>
    </row>
    <row r="1252" spans="1:13" ht="12.75">
      <c r="A1252" s="466" t="s">
        <v>318</v>
      </c>
      <c r="B1252" s="450" t="s">
        <v>412</v>
      </c>
      <c r="C1252" s="458" t="s">
        <v>137</v>
      </c>
      <c r="D1252" s="449">
        <v>37743</v>
      </c>
      <c r="E1252" s="450" t="s">
        <v>245</v>
      </c>
      <c r="F1252" s="467">
        <v>0.003</v>
      </c>
      <c r="G1252" s="467" t="s">
        <v>321</v>
      </c>
      <c r="H1252" s="468">
        <v>0.01</v>
      </c>
      <c r="I1252" s="450">
        <v>0.003</v>
      </c>
      <c r="J1252" s="450" t="s">
        <v>322</v>
      </c>
      <c r="K1252" s="469">
        <v>117</v>
      </c>
      <c r="L1252" s="470">
        <v>1</v>
      </c>
      <c r="M1252" s="509"/>
    </row>
    <row r="1253" spans="1:13" ht="12.75">
      <c r="A1253" s="466" t="s">
        <v>318</v>
      </c>
      <c r="B1253" s="450" t="s">
        <v>412</v>
      </c>
      <c r="C1253" s="458" t="s">
        <v>137</v>
      </c>
      <c r="D1253" s="449">
        <v>37897</v>
      </c>
      <c r="E1253" s="450" t="s">
        <v>245</v>
      </c>
      <c r="F1253" s="467">
        <v>0.003</v>
      </c>
      <c r="G1253" s="467" t="s">
        <v>321</v>
      </c>
      <c r="H1253" s="468">
        <v>0.01</v>
      </c>
      <c r="I1253" s="450">
        <v>0.003</v>
      </c>
      <c r="J1253" s="450" t="s">
        <v>322</v>
      </c>
      <c r="K1253" s="469">
        <v>117</v>
      </c>
      <c r="L1253" s="470">
        <v>1</v>
      </c>
      <c r="M1253" s="509"/>
    </row>
    <row r="1254" spans="1:13" ht="12.75">
      <c r="A1254" s="466" t="s">
        <v>318</v>
      </c>
      <c r="B1254" s="450" t="s">
        <v>412</v>
      </c>
      <c r="C1254" s="458" t="s">
        <v>137</v>
      </c>
      <c r="D1254" s="449">
        <v>38113</v>
      </c>
      <c r="E1254" s="450" t="s">
        <v>245</v>
      </c>
      <c r="F1254" s="467">
        <v>0.003</v>
      </c>
      <c r="G1254" s="467" t="s">
        <v>321</v>
      </c>
      <c r="H1254" s="468">
        <v>0.01</v>
      </c>
      <c r="I1254" s="450">
        <v>0.003</v>
      </c>
      <c r="J1254" s="450" t="s">
        <v>322</v>
      </c>
      <c r="K1254" s="469">
        <v>117</v>
      </c>
      <c r="L1254" s="470">
        <v>1</v>
      </c>
      <c r="M1254" s="509"/>
    </row>
    <row r="1255" spans="1:13" ht="12.75">
      <c r="A1255" s="466" t="s">
        <v>318</v>
      </c>
      <c r="B1255" s="450" t="s">
        <v>412</v>
      </c>
      <c r="C1255" s="458" t="s">
        <v>137</v>
      </c>
      <c r="D1255" s="449">
        <v>38273</v>
      </c>
      <c r="E1255" s="450" t="s">
        <v>245</v>
      </c>
      <c r="F1255" s="467">
        <v>0.003</v>
      </c>
      <c r="G1255" s="467" t="s">
        <v>321</v>
      </c>
      <c r="H1255" s="468">
        <v>0.01</v>
      </c>
      <c r="I1255" s="450">
        <v>0.003</v>
      </c>
      <c r="J1255" s="450" t="s">
        <v>322</v>
      </c>
      <c r="K1255" s="469">
        <v>117</v>
      </c>
      <c r="L1255" s="470">
        <v>1</v>
      </c>
      <c r="M1255" s="509"/>
    </row>
    <row r="1256" spans="1:13" ht="12.75">
      <c r="A1256" s="466" t="s">
        <v>318</v>
      </c>
      <c r="B1256" s="450" t="s">
        <v>412</v>
      </c>
      <c r="C1256" s="458" t="s">
        <v>137</v>
      </c>
      <c r="D1256" s="449">
        <v>38477</v>
      </c>
      <c r="E1256" s="450" t="s">
        <v>245</v>
      </c>
      <c r="F1256" s="467">
        <v>0.0029</v>
      </c>
      <c r="G1256" s="467" t="s">
        <v>321</v>
      </c>
      <c r="H1256" s="468">
        <v>0.01</v>
      </c>
      <c r="I1256" s="450">
        <v>0.0029</v>
      </c>
      <c r="J1256" s="450" t="s">
        <v>322</v>
      </c>
      <c r="K1256" s="469">
        <v>117</v>
      </c>
      <c r="L1256" s="470">
        <v>1</v>
      </c>
      <c r="M1256" s="509"/>
    </row>
    <row r="1257" spans="1:13" ht="12.75">
      <c r="A1257" s="466" t="s">
        <v>318</v>
      </c>
      <c r="B1257" s="450" t="s">
        <v>412</v>
      </c>
      <c r="C1257" s="458" t="s">
        <v>137</v>
      </c>
      <c r="D1257" s="449">
        <v>38638</v>
      </c>
      <c r="E1257" s="450" t="s">
        <v>245</v>
      </c>
      <c r="F1257" s="467">
        <v>0.003</v>
      </c>
      <c r="G1257" s="467" t="s">
        <v>321</v>
      </c>
      <c r="H1257" s="468">
        <v>0.01</v>
      </c>
      <c r="I1257" s="450">
        <v>0.003</v>
      </c>
      <c r="J1257" s="450" t="s">
        <v>322</v>
      </c>
      <c r="K1257" s="469">
        <v>117</v>
      </c>
      <c r="L1257" s="470">
        <v>1</v>
      </c>
      <c r="M1257" s="509"/>
    </row>
    <row r="1258" spans="1:13" ht="12.75">
      <c r="A1258" s="466" t="s">
        <v>318</v>
      </c>
      <c r="B1258" s="450" t="s">
        <v>412</v>
      </c>
      <c r="C1258" s="458" t="s">
        <v>424</v>
      </c>
      <c r="D1258" s="449">
        <v>37173</v>
      </c>
      <c r="E1258" s="450" t="s">
        <v>245</v>
      </c>
      <c r="F1258" s="467">
        <v>0.002</v>
      </c>
      <c r="G1258" s="467" t="s">
        <v>321</v>
      </c>
      <c r="H1258" s="468">
        <v>0.01</v>
      </c>
      <c r="I1258" s="450">
        <v>0.002</v>
      </c>
      <c r="J1258" s="450" t="s">
        <v>322</v>
      </c>
      <c r="K1258" s="469">
        <v>118</v>
      </c>
      <c r="L1258" s="470">
        <v>1</v>
      </c>
      <c r="M1258" s="509"/>
    </row>
    <row r="1259" spans="1:13" ht="12.75">
      <c r="A1259" s="466" t="s">
        <v>318</v>
      </c>
      <c r="B1259" s="450" t="s">
        <v>412</v>
      </c>
      <c r="C1259" s="458" t="s">
        <v>424</v>
      </c>
      <c r="D1259" s="449">
        <v>37386</v>
      </c>
      <c r="E1259" s="450" t="s">
        <v>245</v>
      </c>
      <c r="F1259" s="467">
        <v>0.002</v>
      </c>
      <c r="G1259" s="467" t="s">
        <v>321</v>
      </c>
      <c r="H1259" s="468">
        <v>0.01</v>
      </c>
      <c r="I1259" s="450">
        <v>0.002</v>
      </c>
      <c r="J1259" s="450" t="s">
        <v>322</v>
      </c>
      <c r="K1259" s="469">
        <v>118</v>
      </c>
      <c r="L1259" s="470">
        <v>1</v>
      </c>
      <c r="M1259" s="509"/>
    </row>
    <row r="1260" spans="1:13" ht="12.75">
      <c r="A1260" s="466" t="s">
        <v>318</v>
      </c>
      <c r="B1260" s="450" t="s">
        <v>412</v>
      </c>
      <c r="C1260" s="458" t="s">
        <v>424</v>
      </c>
      <c r="D1260" s="449">
        <v>37537</v>
      </c>
      <c r="E1260" s="450" t="s">
        <v>245</v>
      </c>
      <c r="F1260" s="467">
        <v>0.003</v>
      </c>
      <c r="G1260" s="467" t="s">
        <v>321</v>
      </c>
      <c r="H1260" s="468">
        <v>0.01</v>
      </c>
      <c r="I1260" s="450">
        <v>0.003</v>
      </c>
      <c r="J1260" s="450" t="s">
        <v>322</v>
      </c>
      <c r="K1260" s="469">
        <v>118</v>
      </c>
      <c r="L1260" s="470">
        <v>1</v>
      </c>
      <c r="M1260" s="509"/>
    </row>
    <row r="1261" spans="1:13" ht="12.75">
      <c r="A1261" s="466" t="s">
        <v>318</v>
      </c>
      <c r="B1261" s="450" t="s">
        <v>412</v>
      </c>
      <c r="C1261" s="458" t="s">
        <v>424</v>
      </c>
      <c r="D1261" s="449">
        <v>37743</v>
      </c>
      <c r="E1261" s="450" t="s">
        <v>245</v>
      </c>
      <c r="F1261" s="467">
        <v>0.003</v>
      </c>
      <c r="G1261" s="467" t="s">
        <v>321</v>
      </c>
      <c r="H1261" s="468">
        <v>0.01</v>
      </c>
      <c r="I1261" s="450">
        <v>0.003</v>
      </c>
      <c r="J1261" s="450" t="s">
        <v>322</v>
      </c>
      <c r="K1261" s="469">
        <v>118</v>
      </c>
      <c r="L1261" s="470">
        <v>1</v>
      </c>
      <c r="M1261" s="509"/>
    </row>
    <row r="1262" spans="1:13" ht="12.75">
      <c r="A1262" s="466" t="s">
        <v>318</v>
      </c>
      <c r="B1262" s="450" t="s">
        <v>412</v>
      </c>
      <c r="C1262" s="458" t="s">
        <v>424</v>
      </c>
      <c r="D1262" s="449">
        <v>37897</v>
      </c>
      <c r="E1262" s="450" t="s">
        <v>245</v>
      </c>
      <c r="F1262" s="467">
        <v>0.003</v>
      </c>
      <c r="G1262" s="467" t="s">
        <v>321</v>
      </c>
      <c r="H1262" s="468">
        <v>0.01</v>
      </c>
      <c r="I1262" s="450">
        <v>0.003</v>
      </c>
      <c r="J1262" s="450" t="s">
        <v>322</v>
      </c>
      <c r="K1262" s="469">
        <v>118</v>
      </c>
      <c r="L1262" s="470">
        <v>1</v>
      </c>
      <c r="M1262" s="509"/>
    </row>
    <row r="1263" spans="1:13" ht="12.75">
      <c r="A1263" s="466" t="s">
        <v>318</v>
      </c>
      <c r="B1263" s="450" t="s">
        <v>412</v>
      </c>
      <c r="C1263" s="458" t="s">
        <v>424</v>
      </c>
      <c r="D1263" s="449">
        <v>38113</v>
      </c>
      <c r="E1263" s="450" t="s">
        <v>245</v>
      </c>
      <c r="F1263" s="467">
        <v>0.003</v>
      </c>
      <c r="G1263" s="467" t="s">
        <v>321</v>
      </c>
      <c r="H1263" s="468">
        <v>0.01</v>
      </c>
      <c r="I1263" s="450">
        <v>0.003</v>
      </c>
      <c r="J1263" s="450" t="s">
        <v>322</v>
      </c>
      <c r="K1263" s="469">
        <v>118</v>
      </c>
      <c r="L1263" s="470">
        <v>1</v>
      </c>
      <c r="M1263" s="509"/>
    </row>
    <row r="1264" spans="1:13" ht="12.75">
      <c r="A1264" s="466" t="s">
        <v>318</v>
      </c>
      <c r="B1264" s="450" t="s">
        <v>412</v>
      </c>
      <c r="C1264" s="458" t="s">
        <v>424</v>
      </c>
      <c r="D1264" s="449">
        <v>38273</v>
      </c>
      <c r="E1264" s="450" t="s">
        <v>245</v>
      </c>
      <c r="F1264" s="467">
        <v>0.002</v>
      </c>
      <c r="G1264" s="467" t="s">
        <v>321</v>
      </c>
      <c r="H1264" s="468">
        <v>0.01</v>
      </c>
      <c r="I1264" s="450">
        <v>0.002</v>
      </c>
      <c r="J1264" s="450" t="s">
        <v>322</v>
      </c>
      <c r="K1264" s="469">
        <v>118</v>
      </c>
      <c r="L1264" s="470">
        <v>1</v>
      </c>
      <c r="M1264" s="509"/>
    </row>
    <row r="1265" spans="1:13" ht="12.75">
      <c r="A1265" s="501" t="s">
        <v>318</v>
      </c>
      <c r="B1265" s="502" t="s">
        <v>412</v>
      </c>
      <c r="C1265" s="503" t="s">
        <v>424</v>
      </c>
      <c r="D1265" s="504">
        <v>38477</v>
      </c>
      <c r="E1265" s="502" t="s">
        <v>245</v>
      </c>
      <c r="F1265" s="505">
        <v>0.002</v>
      </c>
      <c r="G1265" s="505" t="s">
        <v>321</v>
      </c>
      <c r="H1265" s="506">
        <v>0.01</v>
      </c>
      <c r="I1265" s="502">
        <v>0.002</v>
      </c>
      <c r="J1265" s="502" t="s">
        <v>322</v>
      </c>
      <c r="K1265" s="507">
        <v>118</v>
      </c>
      <c r="L1265" s="508">
        <v>1</v>
      </c>
      <c r="M1265" s="509"/>
    </row>
    <row r="1266" spans="1:13" ht="12.75">
      <c r="A1266" s="501" t="s">
        <v>318</v>
      </c>
      <c r="B1266" s="502" t="s">
        <v>412</v>
      </c>
      <c r="C1266" s="503" t="s">
        <v>424</v>
      </c>
      <c r="D1266" s="504">
        <v>38638</v>
      </c>
      <c r="E1266" s="502" t="s">
        <v>245</v>
      </c>
      <c r="F1266" s="505">
        <v>0.002</v>
      </c>
      <c r="G1266" s="505" t="s">
        <v>321</v>
      </c>
      <c r="H1266" s="506">
        <v>0.01</v>
      </c>
      <c r="I1266" s="502">
        <v>0.002</v>
      </c>
      <c r="J1266" s="502" t="s">
        <v>322</v>
      </c>
      <c r="K1266" s="507">
        <v>118</v>
      </c>
      <c r="L1266" s="508">
        <v>1</v>
      </c>
      <c r="M1266" s="509"/>
    </row>
    <row r="1267" spans="1:13" ht="12.75">
      <c r="A1267" s="501" t="s">
        <v>318</v>
      </c>
      <c r="B1267" s="502" t="s">
        <v>412</v>
      </c>
      <c r="C1267" s="503" t="s">
        <v>425</v>
      </c>
      <c r="D1267" s="504">
        <v>37173</v>
      </c>
      <c r="E1267" s="505" t="s">
        <v>245</v>
      </c>
      <c r="F1267" s="505">
        <v>0.08</v>
      </c>
      <c r="G1267" s="505" t="s">
        <v>321</v>
      </c>
      <c r="H1267" s="506">
        <v>0.1</v>
      </c>
      <c r="I1267" s="502">
        <v>0.08</v>
      </c>
      <c r="J1267" s="502" t="s">
        <v>322</v>
      </c>
      <c r="K1267" s="507">
        <v>119</v>
      </c>
      <c r="L1267" s="508">
        <v>1</v>
      </c>
      <c r="M1267" s="509"/>
    </row>
    <row r="1268" spans="1:13" ht="12.75">
      <c r="A1268" s="501" t="s">
        <v>318</v>
      </c>
      <c r="B1268" s="502" t="s">
        <v>412</v>
      </c>
      <c r="C1268" s="503" t="s">
        <v>425</v>
      </c>
      <c r="D1268" s="504">
        <v>37386</v>
      </c>
      <c r="E1268" s="505" t="s">
        <v>245</v>
      </c>
      <c r="F1268" s="505">
        <v>0.08</v>
      </c>
      <c r="G1268" s="505" t="s">
        <v>321</v>
      </c>
      <c r="H1268" s="506">
        <v>0.1</v>
      </c>
      <c r="I1268" s="502">
        <v>0.08</v>
      </c>
      <c r="J1268" s="502" t="s">
        <v>322</v>
      </c>
      <c r="K1268" s="507">
        <v>119</v>
      </c>
      <c r="L1268" s="508">
        <v>1</v>
      </c>
      <c r="M1268" s="509"/>
    </row>
    <row r="1269" spans="1:13" ht="12.75">
      <c r="A1269" s="501" t="s">
        <v>318</v>
      </c>
      <c r="B1269" s="502" t="s">
        <v>412</v>
      </c>
      <c r="C1269" s="503" t="s">
        <v>425</v>
      </c>
      <c r="D1269" s="504">
        <v>37537</v>
      </c>
      <c r="E1269" s="502" t="s">
        <v>245</v>
      </c>
      <c r="F1269" s="505">
        <v>0.05</v>
      </c>
      <c r="G1269" s="505" t="s">
        <v>321</v>
      </c>
      <c r="H1269" s="506">
        <v>0.1</v>
      </c>
      <c r="I1269" s="502">
        <v>0.05</v>
      </c>
      <c r="J1269" s="502" t="s">
        <v>322</v>
      </c>
      <c r="K1269" s="507">
        <v>119</v>
      </c>
      <c r="L1269" s="508">
        <v>1</v>
      </c>
      <c r="M1269" s="509"/>
    </row>
    <row r="1270" spans="1:13" ht="12.75">
      <c r="A1270" s="501" t="s">
        <v>318</v>
      </c>
      <c r="B1270" s="502" t="s">
        <v>412</v>
      </c>
      <c r="C1270" s="503" t="s">
        <v>425</v>
      </c>
      <c r="D1270" s="504">
        <v>37743</v>
      </c>
      <c r="E1270" s="502" t="s">
        <v>245</v>
      </c>
      <c r="F1270" s="505">
        <v>0.05</v>
      </c>
      <c r="G1270" s="505" t="s">
        <v>321</v>
      </c>
      <c r="H1270" s="506">
        <v>0.1</v>
      </c>
      <c r="I1270" s="502">
        <v>0.05</v>
      </c>
      <c r="J1270" s="502" t="s">
        <v>322</v>
      </c>
      <c r="K1270" s="507">
        <v>119</v>
      </c>
      <c r="L1270" s="508">
        <v>1</v>
      </c>
      <c r="M1270" s="509"/>
    </row>
    <row r="1271" spans="1:13" ht="12.75">
      <c r="A1271" s="501" t="s">
        <v>318</v>
      </c>
      <c r="B1271" s="502" t="s">
        <v>412</v>
      </c>
      <c r="C1271" s="503" t="s">
        <v>425</v>
      </c>
      <c r="D1271" s="504">
        <v>37897</v>
      </c>
      <c r="E1271" s="502" t="s">
        <v>245</v>
      </c>
      <c r="F1271" s="505">
        <v>0.05</v>
      </c>
      <c r="G1271" s="505" t="s">
        <v>321</v>
      </c>
      <c r="H1271" s="506">
        <v>0.1</v>
      </c>
      <c r="I1271" s="502">
        <v>0.05</v>
      </c>
      <c r="J1271" s="502" t="s">
        <v>322</v>
      </c>
      <c r="K1271" s="507">
        <v>119</v>
      </c>
      <c r="L1271" s="508">
        <v>1</v>
      </c>
      <c r="M1271" s="509"/>
    </row>
    <row r="1272" spans="1:13" ht="12.75">
      <c r="A1272" s="501" t="s">
        <v>318</v>
      </c>
      <c r="B1272" s="502" t="s">
        <v>412</v>
      </c>
      <c r="C1272" s="503" t="s">
        <v>425</v>
      </c>
      <c r="D1272" s="504">
        <v>38113</v>
      </c>
      <c r="E1272" s="502" t="s">
        <v>245</v>
      </c>
      <c r="F1272" s="505">
        <v>0.05</v>
      </c>
      <c r="G1272" s="505" t="s">
        <v>321</v>
      </c>
      <c r="H1272" s="506">
        <v>0.1</v>
      </c>
      <c r="I1272" s="502">
        <v>0.05</v>
      </c>
      <c r="J1272" s="502" t="s">
        <v>322</v>
      </c>
      <c r="K1272" s="507">
        <v>119</v>
      </c>
      <c r="L1272" s="508">
        <v>1</v>
      </c>
      <c r="M1272" s="509"/>
    </row>
    <row r="1273" spans="1:13" ht="12.75">
      <c r="A1273" s="501" t="s">
        <v>318</v>
      </c>
      <c r="B1273" s="502" t="s">
        <v>412</v>
      </c>
      <c r="C1273" s="503" t="s">
        <v>425</v>
      </c>
      <c r="D1273" s="504">
        <v>38273</v>
      </c>
      <c r="E1273" s="502" t="s">
        <v>245</v>
      </c>
      <c r="F1273" s="505">
        <v>0.03</v>
      </c>
      <c r="G1273" s="505" t="s">
        <v>321</v>
      </c>
      <c r="H1273" s="506">
        <v>0.1</v>
      </c>
      <c r="I1273" s="502">
        <v>0.03</v>
      </c>
      <c r="J1273" s="502" t="s">
        <v>322</v>
      </c>
      <c r="K1273" s="507">
        <v>119</v>
      </c>
      <c r="L1273" s="508">
        <v>1</v>
      </c>
      <c r="M1273" s="509"/>
    </row>
    <row r="1274" spans="1:13" ht="12.75">
      <c r="A1274" s="501" t="s">
        <v>318</v>
      </c>
      <c r="B1274" s="502" t="s">
        <v>412</v>
      </c>
      <c r="C1274" s="503" t="s">
        <v>425</v>
      </c>
      <c r="D1274" s="504">
        <v>38477</v>
      </c>
      <c r="E1274" s="502" t="s">
        <v>245</v>
      </c>
      <c r="F1274" s="505">
        <v>0.029</v>
      </c>
      <c r="G1274" s="505" t="s">
        <v>321</v>
      </c>
      <c r="H1274" s="506">
        <v>0.1</v>
      </c>
      <c r="I1274" s="502">
        <v>0.029</v>
      </c>
      <c r="J1274" s="502" t="s">
        <v>322</v>
      </c>
      <c r="K1274" s="507">
        <v>119</v>
      </c>
      <c r="L1274" s="508">
        <v>1</v>
      </c>
      <c r="M1274" s="509"/>
    </row>
    <row r="1275" spans="1:13" ht="12.75">
      <c r="A1275" s="501" t="s">
        <v>318</v>
      </c>
      <c r="B1275" s="502" t="s">
        <v>412</v>
      </c>
      <c r="C1275" s="503" t="s">
        <v>425</v>
      </c>
      <c r="D1275" s="504">
        <v>38638</v>
      </c>
      <c r="E1275" s="502" t="s">
        <v>245</v>
      </c>
      <c r="F1275" s="505">
        <v>0.03</v>
      </c>
      <c r="G1275" s="505" t="s">
        <v>321</v>
      </c>
      <c r="H1275" s="506">
        <v>0.1</v>
      </c>
      <c r="I1275" s="502">
        <v>0.03</v>
      </c>
      <c r="J1275" s="502" t="s">
        <v>322</v>
      </c>
      <c r="K1275" s="507">
        <v>119</v>
      </c>
      <c r="L1275" s="508">
        <v>1</v>
      </c>
      <c r="M1275" s="509"/>
    </row>
    <row r="1276" spans="1:13" ht="12.75">
      <c r="A1276" s="501" t="s">
        <v>318</v>
      </c>
      <c r="B1276" s="502" t="s">
        <v>412</v>
      </c>
      <c r="C1276" s="503" t="s">
        <v>426</v>
      </c>
      <c r="D1276" s="504">
        <v>37173</v>
      </c>
      <c r="E1276" s="502" t="s">
        <v>245</v>
      </c>
      <c r="F1276" s="505">
        <v>0.03</v>
      </c>
      <c r="G1276" s="505" t="s">
        <v>321</v>
      </c>
      <c r="H1276" s="506">
        <v>0.1</v>
      </c>
      <c r="I1276" s="502">
        <v>0.03</v>
      </c>
      <c r="J1276" s="502" t="s">
        <v>322</v>
      </c>
      <c r="K1276" s="507">
        <v>120</v>
      </c>
      <c r="L1276" s="508">
        <v>1</v>
      </c>
      <c r="M1276" s="509"/>
    </row>
    <row r="1277" spans="1:13" ht="12.75">
      <c r="A1277" s="501" t="s">
        <v>318</v>
      </c>
      <c r="B1277" s="502" t="s">
        <v>412</v>
      </c>
      <c r="C1277" s="503" t="s">
        <v>426</v>
      </c>
      <c r="D1277" s="504">
        <v>37386</v>
      </c>
      <c r="E1277" s="502" t="s">
        <v>245</v>
      </c>
      <c r="F1277" s="505">
        <v>0.03</v>
      </c>
      <c r="G1277" s="505" t="s">
        <v>321</v>
      </c>
      <c r="H1277" s="506">
        <v>0.1</v>
      </c>
      <c r="I1277" s="502">
        <v>0.03</v>
      </c>
      <c r="J1277" s="502" t="s">
        <v>322</v>
      </c>
      <c r="K1277" s="507">
        <v>120</v>
      </c>
      <c r="L1277" s="508">
        <v>1</v>
      </c>
      <c r="M1277" s="509"/>
    </row>
    <row r="1278" spans="1:13" ht="12.75">
      <c r="A1278" s="501" t="s">
        <v>318</v>
      </c>
      <c r="B1278" s="502" t="s">
        <v>412</v>
      </c>
      <c r="C1278" s="503" t="s">
        <v>426</v>
      </c>
      <c r="D1278" s="504">
        <v>37537</v>
      </c>
      <c r="E1278" s="502" t="s">
        <v>245</v>
      </c>
      <c r="F1278" s="505">
        <v>0.03</v>
      </c>
      <c r="G1278" s="505" t="s">
        <v>321</v>
      </c>
      <c r="H1278" s="506">
        <v>0.1</v>
      </c>
      <c r="I1278" s="502">
        <v>0.03</v>
      </c>
      <c r="J1278" s="502" t="s">
        <v>322</v>
      </c>
      <c r="K1278" s="507">
        <v>120</v>
      </c>
      <c r="L1278" s="508">
        <v>1</v>
      </c>
      <c r="M1278" s="509"/>
    </row>
    <row r="1279" spans="1:13" ht="12.75">
      <c r="A1279" s="466" t="s">
        <v>318</v>
      </c>
      <c r="B1279" s="450" t="s">
        <v>412</v>
      </c>
      <c r="C1279" s="458" t="s">
        <v>426</v>
      </c>
      <c r="D1279" s="449">
        <v>37743</v>
      </c>
      <c r="E1279" s="450" t="s">
        <v>245</v>
      </c>
      <c r="F1279" s="467">
        <v>0.03</v>
      </c>
      <c r="G1279" s="467" t="s">
        <v>321</v>
      </c>
      <c r="H1279" s="468">
        <v>0.1</v>
      </c>
      <c r="I1279" s="450">
        <v>0.03</v>
      </c>
      <c r="J1279" s="450" t="s">
        <v>322</v>
      </c>
      <c r="K1279" s="469">
        <v>120</v>
      </c>
      <c r="L1279" s="470">
        <v>1</v>
      </c>
      <c r="M1279" s="509"/>
    </row>
    <row r="1280" spans="1:13" ht="12.75">
      <c r="A1280" s="466" t="s">
        <v>318</v>
      </c>
      <c r="B1280" s="450" t="s">
        <v>412</v>
      </c>
      <c r="C1280" s="458" t="s">
        <v>426</v>
      </c>
      <c r="D1280" s="449">
        <v>37897</v>
      </c>
      <c r="E1280" s="450" t="s">
        <v>245</v>
      </c>
      <c r="F1280" s="467">
        <v>0.03</v>
      </c>
      <c r="G1280" s="467" t="s">
        <v>321</v>
      </c>
      <c r="H1280" s="468">
        <v>0.1</v>
      </c>
      <c r="I1280" s="450">
        <v>0.03</v>
      </c>
      <c r="J1280" s="450" t="s">
        <v>322</v>
      </c>
      <c r="K1280" s="469">
        <v>120</v>
      </c>
      <c r="L1280" s="470">
        <v>1</v>
      </c>
      <c r="M1280" s="509"/>
    </row>
    <row r="1281" spans="1:13" ht="12.75">
      <c r="A1281" s="466" t="s">
        <v>318</v>
      </c>
      <c r="B1281" s="450" t="s">
        <v>412</v>
      </c>
      <c r="C1281" s="458" t="s">
        <v>426</v>
      </c>
      <c r="D1281" s="449">
        <v>38113</v>
      </c>
      <c r="E1281" s="450" t="s">
        <v>245</v>
      </c>
      <c r="F1281" s="467">
        <v>0.03</v>
      </c>
      <c r="G1281" s="467" t="s">
        <v>321</v>
      </c>
      <c r="H1281" s="468">
        <v>0.1</v>
      </c>
      <c r="I1281" s="450">
        <v>0.03</v>
      </c>
      <c r="J1281" s="450" t="s">
        <v>322</v>
      </c>
      <c r="K1281" s="469">
        <v>120</v>
      </c>
      <c r="L1281" s="470">
        <v>1</v>
      </c>
      <c r="M1281" s="509"/>
    </row>
    <row r="1282" spans="1:13" ht="12.75">
      <c r="A1282" s="466" t="s">
        <v>318</v>
      </c>
      <c r="B1282" s="450" t="s">
        <v>412</v>
      </c>
      <c r="C1282" s="458" t="s">
        <v>426</v>
      </c>
      <c r="D1282" s="449">
        <v>38273</v>
      </c>
      <c r="E1282" s="450" t="s">
        <v>245</v>
      </c>
      <c r="F1282" s="467">
        <v>0.05</v>
      </c>
      <c r="G1282" s="467" t="s">
        <v>321</v>
      </c>
      <c r="H1282" s="468">
        <v>0.1</v>
      </c>
      <c r="I1282" s="450">
        <v>0.05</v>
      </c>
      <c r="J1282" s="450" t="s">
        <v>322</v>
      </c>
      <c r="K1282" s="469">
        <v>120</v>
      </c>
      <c r="L1282" s="470">
        <v>1</v>
      </c>
      <c r="M1282" s="509"/>
    </row>
    <row r="1283" spans="1:13" ht="12.75">
      <c r="A1283" s="466" t="s">
        <v>318</v>
      </c>
      <c r="B1283" s="450" t="s">
        <v>412</v>
      </c>
      <c r="C1283" s="458" t="s">
        <v>426</v>
      </c>
      <c r="D1283" s="449">
        <v>38477</v>
      </c>
      <c r="E1283" s="450" t="s">
        <v>245</v>
      </c>
      <c r="F1283" s="467">
        <v>0.049</v>
      </c>
      <c r="G1283" s="467" t="s">
        <v>321</v>
      </c>
      <c r="H1283" s="468">
        <v>0.1</v>
      </c>
      <c r="I1283" s="450">
        <v>0.049</v>
      </c>
      <c r="J1283" s="450" t="s">
        <v>322</v>
      </c>
      <c r="K1283" s="469">
        <v>120</v>
      </c>
      <c r="L1283" s="470">
        <v>1</v>
      </c>
      <c r="M1283" s="509"/>
    </row>
    <row r="1284" spans="1:13" ht="12.75">
      <c r="A1284" s="466" t="s">
        <v>318</v>
      </c>
      <c r="B1284" s="450" t="s">
        <v>412</v>
      </c>
      <c r="C1284" s="458" t="s">
        <v>426</v>
      </c>
      <c r="D1284" s="449">
        <v>38638</v>
      </c>
      <c r="E1284" s="450" t="s">
        <v>245</v>
      </c>
      <c r="F1284" s="467">
        <v>0.06</v>
      </c>
      <c r="G1284" s="467" t="s">
        <v>321</v>
      </c>
      <c r="H1284" s="468">
        <v>0.1</v>
      </c>
      <c r="I1284" s="450">
        <v>0.06</v>
      </c>
      <c r="J1284" s="450" t="s">
        <v>322</v>
      </c>
      <c r="K1284" s="469">
        <v>120</v>
      </c>
      <c r="L1284" s="470">
        <v>1</v>
      </c>
      <c r="M1284" s="509"/>
    </row>
    <row r="1285" spans="1:13" ht="12.75">
      <c r="A1285" s="466" t="s">
        <v>318</v>
      </c>
      <c r="B1285" s="450" t="s">
        <v>412</v>
      </c>
      <c r="C1285" s="458" t="s">
        <v>427</v>
      </c>
      <c r="D1285" s="449">
        <v>37173</v>
      </c>
      <c r="E1285" s="450" t="s">
        <v>245</v>
      </c>
      <c r="F1285" s="467">
        <v>0.04</v>
      </c>
      <c r="G1285" s="467" t="s">
        <v>321</v>
      </c>
      <c r="H1285" s="468">
        <v>0.1</v>
      </c>
      <c r="I1285" s="450">
        <v>0.04</v>
      </c>
      <c r="J1285" s="450" t="s">
        <v>322</v>
      </c>
      <c r="K1285" s="469">
        <v>121</v>
      </c>
      <c r="L1285" s="470">
        <v>1</v>
      </c>
      <c r="M1285" s="509"/>
    </row>
    <row r="1286" spans="1:13" ht="12.75">
      <c r="A1286" s="466" t="s">
        <v>318</v>
      </c>
      <c r="B1286" s="450" t="s">
        <v>412</v>
      </c>
      <c r="C1286" s="458" t="s">
        <v>427</v>
      </c>
      <c r="D1286" s="449">
        <v>37386</v>
      </c>
      <c r="E1286" s="450" t="s">
        <v>245</v>
      </c>
      <c r="F1286" s="467">
        <v>0.04</v>
      </c>
      <c r="G1286" s="467" t="s">
        <v>321</v>
      </c>
      <c r="H1286" s="468">
        <v>0.1</v>
      </c>
      <c r="I1286" s="450">
        <v>0.04</v>
      </c>
      <c r="J1286" s="450" t="s">
        <v>322</v>
      </c>
      <c r="K1286" s="469">
        <v>121</v>
      </c>
      <c r="L1286" s="470">
        <v>1</v>
      </c>
      <c r="M1286" s="509"/>
    </row>
    <row r="1287" spans="1:13" ht="12.75">
      <c r="A1287" s="466" t="s">
        <v>318</v>
      </c>
      <c r="B1287" s="450" t="s">
        <v>412</v>
      </c>
      <c r="C1287" s="458" t="s">
        <v>427</v>
      </c>
      <c r="D1287" s="449">
        <v>37537</v>
      </c>
      <c r="E1287" s="450" t="s">
        <v>245</v>
      </c>
      <c r="F1287" s="467">
        <v>0.04</v>
      </c>
      <c r="G1287" s="467" t="s">
        <v>321</v>
      </c>
      <c r="H1287" s="468">
        <v>0.1</v>
      </c>
      <c r="I1287" s="450">
        <v>0.04</v>
      </c>
      <c r="J1287" s="450" t="s">
        <v>322</v>
      </c>
      <c r="K1287" s="469">
        <v>121</v>
      </c>
      <c r="L1287" s="470">
        <v>1</v>
      </c>
      <c r="M1287" s="509"/>
    </row>
    <row r="1288" spans="1:13" ht="12.75">
      <c r="A1288" s="466" t="s">
        <v>318</v>
      </c>
      <c r="B1288" s="450" t="s">
        <v>412</v>
      </c>
      <c r="C1288" s="458" t="s">
        <v>427</v>
      </c>
      <c r="D1288" s="449">
        <v>37743</v>
      </c>
      <c r="E1288" s="450" t="s">
        <v>245</v>
      </c>
      <c r="F1288" s="467">
        <v>0.04</v>
      </c>
      <c r="G1288" s="467" t="s">
        <v>321</v>
      </c>
      <c r="H1288" s="468">
        <v>0.1</v>
      </c>
      <c r="I1288" s="450">
        <v>0.04</v>
      </c>
      <c r="J1288" s="450" t="s">
        <v>322</v>
      </c>
      <c r="K1288" s="469">
        <v>121</v>
      </c>
      <c r="L1288" s="470">
        <v>1</v>
      </c>
      <c r="M1288" s="509"/>
    </row>
    <row r="1289" spans="1:13" ht="12.75">
      <c r="A1289" s="466" t="s">
        <v>318</v>
      </c>
      <c r="B1289" s="450" t="s">
        <v>412</v>
      </c>
      <c r="C1289" s="458" t="s">
        <v>427</v>
      </c>
      <c r="D1289" s="449">
        <v>37897</v>
      </c>
      <c r="E1289" s="450" t="s">
        <v>245</v>
      </c>
      <c r="F1289" s="467">
        <v>0.04</v>
      </c>
      <c r="G1289" s="467" t="s">
        <v>321</v>
      </c>
      <c r="H1289" s="468">
        <v>0.1</v>
      </c>
      <c r="I1289" s="450">
        <v>0.04</v>
      </c>
      <c r="J1289" s="450" t="s">
        <v>322</v>
      </c>
      <c r="K1289" s="469">
        <v>121</v>
      </c>
      <c r="L1289" s="470">
        <v>1</v>
      </c>
      <c r="M1289" s="509"/>
    </row>
    <row r="1290" spans="1:13" ht="12.75">
      <c r="A1290" s="466" t="s">
        <v>318</v>
      </c>
      <c r="B1290" s="450" t="s">
        <v>412</v>
      </c>
      <c r="C1290" s="458" t="s">
        <v>427</v>
      </c>
      <c r="D1290" s="449">
        <v>38113</v>
      </c>
      <c r="E1290" s="450" t="s">
        <v>245</v>
      </c>
      <c r="F1290" s="467">
        <v>0.04</v>
      </c>
      <c r="G1290" s="467" t="s">
        <v>321</v>
      </c>
      <c r="H1290" s="468">
        <v>0.1</v>
      </c>
      <c r="I1290" s="450">
        <v>0.04</v>
      </c>
      <c r="J1290" s="450" t="s">
        <v>322</v>
      </c>
      <c r="K1290" s="469">
        <v>121</v>
      </c>
      <c r="L1290" s="470">
        <v>1</v>
      </c>
      <c r="M1290" s="509"/>
    </row>
    <row r="1291" spans="1:13" ht="12.75">
      <c r="A1291" s="466" t="s">
        <v>318</v>
      </c>
      <c r="B1291" s="450" t="s">
        <v>412</v>
      </c>
      <c r="C1291" s="458" t="s">
        <v>427</v>
      </c>
      <c r="D1291" s="449">
        <v>38273</v>
      </c>
      <c r="E1291" s="450" t="s">
        <v>245</v>
      </c>
      <c r="F1291" s="467">
        <v>0.06</v>
      </c>
      <c r="G1291" s="467" t="s">
        <v>321</v>
      </c>
      <c r="H1291" s="468">
        <v>0.1</v>
      </c>
      <c r="I1291" s="450">
        <v>0.06</v>
      </c>
      <c r="J1291" s="450" t="s">
        <v>322</v>
      </c>
      <c r="K1291" s="469">
        <v>121</v>
      </c>
      <c r="L1291" s="470">
        <v>1</v>
      </c>
      <c r="M1291" s="509"/>
    </row>
    <row r="1292" spans="1:13" ht="12.75">
      <c r="A1292" s="466" t="s">
        <v>318</v>
      </c>
      <c r="B1292" s="450" t="s">
        <v>412</v>
      </c>
      <c r="C1292" s="458" t="s">
        <v>427</v>
      </c>
      <c r="D1292" s="449">
        <v>38477</v>
      </c>
      <c r="E1292" s="450" t="s">
        <v>245</v>
      </c>
      <c r="F1292" s="467">
        <v>0.059</v>
      </c>
      <c r="G1292" s="467" t="s">
        <v>321</v>
      </c>
      <c r="H1292" s="468">
        <v>0.1</v>
      </c>
      <c r="I1292" s="450">
        <v>0.059</v>
      </c>
      <c r="J1292" s="450" t="s">
        <v>322</v>
      </c>
      <c r="K1292" s="469">
        <v>121</v>
      </c>
      <c r="L1292" s="470">
        <v>1</v>
      </c>
      <c r="M1292" s="509"/>
    </row>
    <row r="1293" spans="1:13" ht="12.75">
      <c r="A1293" s="466" t="s">
        <v>318</v>
      </c>
      <c r="B1293" s="450" t="s">
        <v>412</v>
      </c>
      <c r="C1293" s="458" t="s">
        <v>427</v>
      </c>
      <c r="D1293" s="449">
        <v>38638</v>
      </c>
      <c r="E1293" s="450" t="s">
        <v>245</v>
      </c>
      <c r="F1293" s="467">
        <v>0.06</v>
      </c>
      <c r="G1293" s="467" t="s">
        <v>321</v>
      </c>
      <c r="H1293" s="468">
        <v>0.1</v>
      </c>
      <c r="I1293" s="450">
        <v>0.06</v>
      </c>
      <c r="J1293" s="450" t="s">
        <v>322</v>
      </c>
      <c r="K1293" s="469">
        <v>121</v>
      </c>
      <c r="L1293" s="470">
        <v>1</v>
      </c>
      <c r="M1293" s="509"/>
    </row>
    <row r="1294" spans="1:13" ht="12.75">
      <c r="A1294" s="466" t="s">
        <v>318</v>
      </c>
      <c r="B1294" s="450" t="s">
        <v>412</v>
      </c>
      <c r="C1294" s="458" t="s">
        <v>428</v>
      </c>
      <c r="D1294" s="449">
        <v>37173</v>
      </c>
      <c r="E1294" s="450" t="s">
        <v>245</v>
      </c>
      <c r="F1294" s="467">
        <v>0.08</v>
      </c>
      <c r="G1294" s="467" t="s">
        <v>321</v>
      </c>
      <c r="H1294" s="468">
        <v>0.1</v>
      </c>
      <c r="I1294" s="450">
        <v>0.08</v>
      </c>
      <c r="J1294" s="450" t="s">
        <v>322</v>
      </c>
      <c r="K1294" s="469">
        <v>122</v>
      </c>
      <c r="L1294" s="470">
        <v>1</v>
      </c>
      <c r="M1294" s="509"/>
    </row>
    <row r="1295" spans="1:13" ht="12.75">
      <c r="A1295" s="466" t="s">
        <v>318</v>
      </c>
      <c r="B1295" s="450" t="s">
        <v>412</v>
      </c>
      <c r="C1295" s="458" t="s">
        <v>428</v>
      </c>
      <c r="D1295" s="449">
        <v>37386</v>
      </c>
      <c r="E1295" s="450" t="s">
        <v>245</v>
      </c>
      <c r="F1295" s="467">
        <v>0.08</v>
      </c>
      <c r="G1295" s="467" t="s">
        <v>321</v>
      </c>
      <c r="H1295" s="468">
        <v>0.1</v>
      </c>
      <c r="I1295" s="450">
        <v>0.08</v>
      </c>
      <c r="J1295" s="450" t="s">
        <v>322</v>
      </c>
      <c r="K1295" s="469">
        <v>122</v>
      </c>
      <c r="L1295" s="470">
        <v>1</v>
      </c>
      <c r="M1295" s="509"/>
    </row>
    <row r="1296" spans="1:13" ht="12.75">
      <c r="A1296" s="466" t="s">
        <v>318</v>
      </c>
      <c r="B1296" s="450" t="s">
        <v>412</v>
      </c>
      <c r="C1296" s="458" t="s">
        <v>428</v>
      </c>
      <c r="D1296" s="449">
        <v>37537</v>
      </c>
      <c r="E1296" s="450" t="s">
        <v>245</v>
      </c>
      <c r="F1296" s="467">
        <v>0.05</v>
      </c>
      <c r="G1296" s="467" t="s">
        <v>321</v>
      </c>
      <c r="H1296" s="468">
        <v>0.1</v>
      </c>
      <c r="I1296" s="450">
        <v>0.05</v>
      </c>
      <c r="J1296" s="450" t="s">
        <v>322</v>
      </c>
      <c r="K1296" s="469">
        <v>122</v>
      </c>
      <c r="L1296" s="470">
        <v>1</v>
      </c>
      <c r="M1296" s="509"/>
    </row>
    <row r="1297" spans="1:13" ht="12.75">
      <c r="A1297" s="466" t="s">
        <v>318</v>
      </c>
      <c r="B1297" s="450" t="s">
        <v>412</v>
      </c>
      <c r="C1297" s="458" t="s">
        <v>428</v>
      </c>
      <c r="D1297" s="449">
        <v>37743</v>
      </c>
      <c r="E1297" s="450" t="s">
        <v>245</v>
      </c>
      <c r="F1297" s="467">
        <v>0.05</v>
      </c>
      <c r="G1297" s="467" t="s">
        <v>321</v>
      </c>
      <c r="H1297" s="468">
        <v>0.1</v>
      </c>
      <c r="I1297" s="450">
        <v>0.05</v>
      </c>
      <c r="J1297" s="450" t="s">
        <v>322</v>
      </c>
      <c r="K1297" s="469">
        <v>122</v>
      </c>
      <c r="L1297" s="470">
        <v>1</v>
      </c>
      <c r="M1297" s="509"/>
    </row>
    <row r="1298" spans="1:13" ht="12.75">
      <c r="A1298" s="466" t="s">
        <v>318</v>
      </c>
      <c r="B1298" s="450" t="s">
        <v>412</v>
      </c>
      <c r="C1298" s="458" t="s">
        <v>428</v>
      </c>
      <c r="D1298" s="449">
        <v>37897</v>
      </c>
      <c r="E1298" s="450" t="s">
        <v>245</v>
      </c>
      <c r="F1298" s="467">
        <v>0.05</v>
      </c>
      <c r="G1298" s="467" t="s">
        <v>321</v>
      </c>
      <c r="H1298" s="468">
        <v>0.1</v>
      </c>
      <c r="I1298" s="450">
        <v>0.05</v>
      </c>
      <c r="J1298" s="450" t="s">
        <v>322</v>
      </c>
      <c r="K1298" s="469">
        <v>122</v>
      </c>
      <c r="L1298" s="470">
        <v>1</v>
      </c>
      <c r="M1298" s="509"/>
    </row>
    <row r="1299" spans="1:13" ht="12.75">
      <c r="A1299" s="466" t="s">
        <v>318</v>
      </c>
      <c r="B1299" s="450" t="s">
        <v>412</v>
      </c>
      <c r="C1299" s="458" t="s">
        <v>428</v>
      </c>
      <c r="D1299" s="449">
        <v>38113</v>
      </c>
      <c r="E1299" s="450" t="s">
        <v>245</v>
      </c>
      <c r="F1299" s="467">
        <v>0.05</v>
      </c>
      <c r="G1299" s="467" t="s">
        <v>321</v>
      </c>
      <c r="H1299" s="468">
        <v>0.1</v>
      </c>
      <c r="I1299" s="450">
        <v>0.05</v>
      </c>
      <c r="J1299" s="450" t="s">
        <v>322</v>
      </c>
      <c r="K1299" s="469">
        <v>122</v>
      </c>
      <c r="L1299" s="470">
        <v>1</v>
      </c>
      <c r="M1299" s="509"/>
    </row>
    <row r="1300" spans="1:13" ht="12.75">
      <c r="A1300" s="466" t="s">
        <v>318</v>
      </c>
      <c r="B1300" s="450" t="s">
        <v>412</v>
      </c>
      <c r="C1300" s="458" t="s">
        <v>428</v>
      </c>
      <c r="D1300" s="449">
        <v>38273</v>
      </c>
      <c r="E1300" s="450" t="s">
        <v>245</v>
      </c>
      <c r="F1300" s="467">
        <v>0.04</v>
      </c>
      <c r="G1300" s="467" t="s">
        <v>321</v>
      </c>
      <c r="H1300" s="468">
        <v>0.1</v>
      </c>
      <c r="I1300" s="450">
        <v>0.04</v>
      </c>
      <c r="J1300" s="450" t="s">
        <v>322</v>
      </c>
      <c r="K1300" s="469">
        <v>122</v>
      </c>
      <c r="L1300" s="470">
        <v>1</v>
      </c>
      <c r="M1300" s="509"/>
    </row>
    <row r="1301" spans="1:13" ht="12.75">
      <c r="A1301" s="466" t="s">
        <v>318</v>
      </c>
      <c r="B1301" s="450" t="s">
        <v>412</v>
      </c>
      <c r="C1301" s="458" t="s">
        <v>428</v>
      </c>
      <c r="D1301" s="449">
        <v>38477</v>
      </c>
      <c r="E1301" s="450" t="s">
        <v>245</v>
      </c>
      <c r="F1301" s="467">
        <v>0.039</v>
      </c>
      <c r="G1301" s="467" t="s">
        <v>321</v>
      </c>
      <c r="H1301" s="468">
        <v>0.1</v>
      </c>
      <c r="I1301" s="450">
        <v>0.039</v>
      </c>
      <c r="J1301" s="450" t="s">
        <v>322</v>
      </c>
      <c r="K1301" s="469">
        <v>122</v>
      </c>
      <c r="L1301" s="470">
        <v>1</v>
      </c>
      <c r="M1301" s="509"/>
    </row>
    <row r="1302" spans="1:13" ht="12.75">
      <c r="A1302" s="466" t="s">
        <v>318</v>
      </c>
      <c r="B1302" s="450" t="s">
        <v>412</v>
      </c>
      <c r="C1302" s="458" t="s">
        <v>428</v>
      </c>
      <c r="D1302" s="449">
        <v>38638</v>
      </c>
      <c r="E1302" s="450" t="s">
        <v>245</v>
      </c>
      <c r="F1302" s="467">
        <v>0.04</v>
      </c>
      <c r="G1302" s="467" t="s">
        <v>321</v>
      </c>
      <c r="H1302" s="468">
        <v>0.1</v>
      </c>
      <c r="I1302" s="450">
        <v>0.04</v>
      </c>
      <c r="J1302" s="450" t="s">
        <v>322</v>
      </c>
      <c r="K1302" s="469">
        <v>122</v>
      </c>
      <c r="L1302" s="470">
        <v>1</v>
      </c>
      <c r="M1302" s="509"/>
    </row>
    <row r="1303" spans="1:13" ht="12.75">
      <c r="A1303" s="466" t="s">
        <v>318</v>
      </c>
      <c r="B1303" s="450" t="s">
        <v>412</v>
      </c>
      <c r="C1303" s="458" t="s">
        <v>429</v>
      </c>
      <c r="D1303" s="449">
        <v>37173</v>
      </c>
      <c r="E1303" s="450" t="s">
        <v>245</v>
      </c>
      <c r="F1303" s="467">
        <v>0.05</v>
      </c>
      <c r="G1303" s="467" t="s">
        <v>321</v>
      </c>
      <c r="H1303" s="468">
        <v>0.1</v>
      </c>
      <c r="I1303" s="450">
        <v>0.05</v>
      </c>
      <c r="J1303" s="450" t="s">
        <v>322</v>
      </c>
      <c r="K1303" s="469">
        <v>123</v>
      </c>
      <c r="L1303" s="470">
        <v>1</v>
      </c>
      <c r="M1303" s="509"/>
    </row>
    <row r="1304" spans="1:13" ht="12.75">
      <c r="A1304" s="466" t="s">
        <v>318</v>
      </c>
      <c r="B1304" s="450" t="s">
        <v>412</v>
      </c>
      <c r="C1304" s="458" t="s">
        <v>429</v>
      </c>
      <c r="D1304" s="449">
        <v>37386</v>
      </c>
      <c r="E1304" s="450" t="s">
        <v>245</v>
      </c>
      <c r="F1304" s="467">
        <v>0.05</v>
      </c>
      <c r="G1304" s="467" t="s">
        <v>321</v>
      </c>
      <c r="H1304" s="468">
        <v>0.1</v>
      </c>
      <c r="I1304" s="450">
        <v>0.05</v>
      </c>
      <c r="J1304" s="450" t="s">
        <v>322</v>
      </c>
      <c r="K1304" s="469">
        <v>123</v>
      </c>
      <c r="L1304" s="470">
        <v>1</v>
      </c>
      <c r="M1304" s="509"/>
    </row>
    <row r="1305" spans="1:13" ht="12.75">
      <c r="A1305" s="466" t="s">
        <v>318</v>
      </c>
      <c r="B1305" s="450" t="s">
        <v>412</v>
      </c>
      <c r="C1305" s="458" t="s">
        <v>429</v>
      </c>
      <c r="D1305" s="449">
        <v>37537</v>
      </c>
      <c r="E1305" s="450" t="s">
        <v>245</v>
      </c>
      <c r="F1305" s="467">
        <v>0.05</v>
      </c>
      <c r="G1305" s="467" t="s">
        <v>321</v>
      </c>
      <c r="H1305" s="468">
        <v>0.1</v>
      </c>
      <c r="I1305" s="450">
        <v>0.05</v>
      </c>
      <c r="J1305" s="450" t="s">
        <v>322</v>
      </c>
      <c r="K1305" s="469">
        <v>123</v>
      </c>
      <c r="L1305" s="470">
        <v>1</v>
      </c>
      <c r="M1305" s="509"/>
    </row>
    <row r="1306" spans="1:13" ht="12.75">
      <c r="A1306" s="466" t="s">
        <v>318</v>
      </c>
      <c r="B1306" s="450" t="s">
        <v>412</v>
      </c>
      <c r="C1306" s="458" t="s">
        <v>429</v>
      </c>
      <c r="D1306" s="449">
        <v>37743</v>
      </c>
      <c r="E1306" s="450" t="s">
        <v>245</v>
      </c>
      <c r="F1306" s="467">
        <v>0.05</v>
      </c>
      <c r="G1306" s="467" t="s">
        <v>321</v>
      </c>
      <c r="H1306" s="468">
        <v>0.1</v>
      </c>
      <c r="I1306" s="450">
        <v>0.05</v>
      </c>
      <c r="J1306" s="450" t="s">
        <v>322</v>
      </c>
      <c r="K1306" s="469">
        <v>123</v>
      </c>
      <c r="L1306" s="470">
        <v>1</v>
      </c>
      <c r="M1306" s="509"/>
    </row>
    <row r="1307" spans="1:13" ht="12.75">
      <c r="A1307" s="466" t="s">
        <v>318</v>
      </c>
      <c r="B1307" s="450" t="s">
        <v>412</v>
      </c>
      <c r="C1307" s="458" t="s">
        <v>429</v>
      </c>
      <c r="D1307" s="449">
        <v>37897</v>
      </c>
      <c r="E1307" s="450" t="s">
        <v>245</v>
      </c>
      <c r="F1307" s="467">
        <v>0.05</v>
      </c>
      <c r="G1307" s="467" t="s">
        <v>321</v>
      </c>
      <c r="H1307" s="468">
        <v>0.1</v>
      </c>
      <c r="I1307" s="450">
        <v>0.05</v>
      </c>
      <c r="J1307" s="450" t="s">
        <v>322</v>
      </c>
      <c r="K1307" s="469">
        <v>123</v>
      </c>
      <c r="L1307" s="470">
        <v>1</v>
      </c>
      <c r="M1307" s="509"/>
    </row>
    <row r="1308" spans="1:13" ht="12.75">
      <c r="A1308" s="466" t="s">
        <v>318</v>
      </c>
      <c r="B1308" s="450" t="s">
        <v>412</v>
      </c>
      <c r="C1308" s="458" t="s">
        <v>429</v>
      </c>
      <c r="D1308" s="449">
        <v>38113</v>
      </c>
      <c r="E1308" s="450" t="s">
        <v>245</v>
      </c>
      <c r="F1308" s="467">
        <v>0.05</v>
      </c>
      <c r="G1308" s="467" t="s">
        <v>321</v>
      </c>
      <c r="H1308" s="468">
        <v>0.1</v>
      </c>
      <c r="I1308" s="450">
        <v>0.05</v>
      </c>
      <c r="J1308" s="450" t="s">
        <v>322</v>
      </c>
      <c r="K1308" s="469">
        <v>123</v>
      </c>
      <c r="L1308" s="470">
        <v>1</v>
      </c>
      <c r="M1308" s="509"/>
    </row>
    <row r="1309" spans="1:13" ht="12.75">
      <c r="A1309" s="466" t="s">
        <v>318</v>
      </c>
      <c r="B1309" s="450" t="s">
        <v>412</v>
      </c>
      <c r="C1309" s="458" t="s">
        <v>429</v>
      </c>
      <c r="D1309" s="449">
        <v>38273</v>
      </c>
      <c r="E1309" s="450" t="s">
        <v>245</v>
      </c>
      <c r="F1309" s="467">
        <v>0.05</v>
      </c>
      <c r="G1309" s="467" t="s">
        <v>321</v>
      </c>
      <c r="H1309" s="468">
        <v>0.1</v>
      </c>
      <c r="I1309" s="450">
        <v>0.05</v>
      </c>
      <c r="J1309" s="450" t="s">
        <v>322</v>
      </c>
      <c r="K1309" s="469">
        <v>123</v>
      </c>
      <c r="L1309" s="470">
        <v>1</v>
      </c>
      <c r="M1309" s="509"/>
    </row>
    <row r="1310" spans="1:13" ht="12.75">
      <c r="A1310" s="466" t="s">
        <v>318</v>
      </c>
      <c r="B1310" s="450" t="s">
        <v>412</v>
      </c>
      <c r="C1310" s="458" t="s">
        <v>429</v>
      </c>
      <c r="D1310" s="449">
        <v>38477</v>
      </c>
      <c r="E1310" s="450" t="s">
        <v>245</v>
      </c>
      <c r="F1310" s="467">
        <v>0.049</v>
      </c>
      <c r="G1310" s="467" t="s">
        <v>321</v>
      </c>
      <c r="H1310" s="468">
        <v>0.1</v>
      </c>
      <c r="I1310" s="450">
        <v>0.049</v>
      </c>
      <c r="J1310" s="450" t="s">
        <v>322</v>
      </c>
      <c r="K1310" s="469">
        <v>123</v>
      </c>
      <c r="L1310" s="470">
        <v>1</v>
      </c>
      <c r="M1310" s="509"/>
    </row>
    <row r="1311" spans="1:13" ht="12.75">
      <c r="A1311" s="466" t="s">
        <v>318</v>
      </c>
      <c r="B1311" s="450" t="s">
        <v>412</v>
      </c>
      <c r="C1311" s="458" t="s">
        <v>429</v>
      </c>
      <c r="D1311" s="449">
        <v>38638</v>
      </c>
      <c r="E1311" s="450" t="s">
        <v>245</v>
      </c>
      <c r="F1311" s="467">
        <v>0.05</v>
      </c>
      <c r="G1311" s="467" t="s">
        <v>321</v>
      </c>
      <c r="H1311" s="468">
        <v>0.1</v>
      </c>
      <c r="I1311" s="450">
        <v>0.05</v>
      </c>
      <c r="J1311" s="450" t="s">
        <v>322</v>
      </c>
      <c r="K1311" s="469">
        <v>123</v>
      </c>
      <c r="L1311" s="470">
        <v>1</v>
      </c>
      <c r="M1311" s="509"/>
    </row>
    <row r="1312" spans="1:13" ht="12.75">
      <c r="A1312" s="466" t="s">
        <v>318</v>
      </c>
      <c r="B1312" s="450" t="s">
        <v>412</v>
      </c>
      <c r="C1312" s="458" t="s">
        <v>430</v>
      </c>
      <c r="D1312" s="449">
        <v>37173</v>
      </c>
      <c r="E1312" s="450" t="s">
        <v>245</v>
      </c>
      <c r="F1312" s="467">
        <v>0.07</v>
      </c>
      <c r="G1312" s="467" t="s">
        <v>321</v>
      </c>
      <c r="H1312" s="468">
        <v>0.1</v>
      </c>
      <c r="I1312" s="450">
        <v>0.07</v>
      </c>
      <c r="J1312" s="450" t="s">
        <v>322</v>
      </c>
      <c r="K1312" s="469">
        <v>124</v>
      </c>
      <c r="L1312" s="470">
        <v>1</v>
      </c>
      <c r="M1312" s="509"/>
    </row>
    <row r="1313" spans="1:13" ht="12.75">
      <c r="A1313" s="466" t="s">
        <v>318</v>
      </c>
      <c r="B1313" s="450" t="s">
        <v>412</v>
      </c>
      <c r="C1313" s="458" t="s">
        <v>430</v>
      </c>
      <c r="D1313" s="449">
        <v>37386</v>
      </c>
      <c r="E1313" s="450" t="s">
        <v>245</v>
      </c>
      <c r="F1313" s="467">
        <v>0.07</v>
      </c>
      <c r="G1313" s="467" t="s">
        <v>321</v>
      </c>
      <c r="H1313" s="468">
        <v>0.1</v>
      </c>
      <c r="I1313" s="450">
        <v>0.07</v>
      </c>
      <c r="J1313" s="450" t="s">
        <v>322</v>
      </c>
      <c r="K1313" s="469">
        <v>124</v>
      </c>
      <c r="L1313" s="470">
        <v>1</v>
      </c>
      <c r="M1313" s="509"/>
    </row>
    <row r="1314" spans="1:13" ht="12.75">
      <c r="A1314" s="466" t="s">
        <v>318</v>
      </c>
      <c r="B1314" s="450" t="s">
        <v>412</v>
      </c>
      <c r="C1314" s="458" t="s">
        <v>430</v>
      </c>
      <c r="D1314" s="449">
        <v>37537</v>
      </c>
      <c r="E1314" s="450" t="s">
        <v>245</v>
      </c>
      <c r="F1314" s="467">
        <v>0.07</v>
      </c>
      <c r="G1314" s="467" t="s">
        <v>321</v>
      </c>
      <c r="H1314" s="468">
        <v>0.1</v>
      </c>
      <c r="I1314" s="450">
        <v>0.07</v>
      </c>
      <c r="J1314" s="450" t="s">
        <v>322</v>
      </c>
      <c r="K1314" s="469">
        <v>124</v>
      </c>
      <c r="L1314" s="470">
        <v>1</v>
      </c>
      <c r="M1314" s="509"/>
    </row>
    <row r="1315" spans="1:13" ht="12.75">
      <c r="A1315" s="466" t="s">
        <v>318</v>
      </c>
      <c r="B1315" s="450" t="s">
        <v>412</v>
      </c>
      <c r="C1315" s="458" t="s">
        <v>430</v>
      </c>
      <c r="D1315" s="449">
        <v>37743</v>
      </c>
      <c r="E1315" s="450" t="s">
        <v>245</v>
      </c>
      <c r="F1315" s="467">
        <v>0.07</v>
      </c>
      <c r="G1315" s="467" t="s">
        <v>321</v>
      </c>
      <c r="H1315" s="468">
        <v>0.1</v>
      </c>
      <c r="I1315" s="450">
        <v>0.07</v>
      </c>
      <c r="J1315" s="450" t="s">
        <v>322</v>
      </c>
      <c r="K1315" s="469">
        <v>124</v>
      </c>
      <c r="L1315" s="470">
        <v>1</v>
      </c>
      <c r="M1315" s="509"/>
    </row>
    <row r="1316" spans="1:13" ht="12.75">
      <c r="A1316" s="501" t="s">
        <v>318</v>
      </c>
      <c r="B1316" s="502" t="s">
        <v>412</v>
      </c>
      <c r="C1316" s="503" t="s">
        <v>430</v>
      </c>
      <c r="D1316" s="504">
        <v>37897</v>
      </c>
      <c r="E1316" s="502" t="s">
        <v>245</v>
      </c>
      <c r="F1316" s="505">
        <v>0.07</v>
      </c>
      <c r="G1316" s="505" t="s">
        <v>321</v>
      </c>
      <c r="H1316" s="506">
        <v>0.1</v>
      </c>
      <c r="I1316" s="502">
        <v>0.07</v>
      </c>
      <c r="J1316" s="502" t="s">
        <v>322</v>
      </c>
      <c r="K1316" s="507">
        <v>124</v>
      </c>
      <c r="L1316" s="508">
        <v>1</v>
      </c>
      <c r="M1316" s="509"/>
    </row>
    <row r="1317" spans="1:13" ht="12.75">
      <c r="A1317" s="466" t="s">
        <v>318</v>
      </c>
      <c r="B1317" s="450" t="s">
        <v>412</v>
      </c>
      <c r="C1317" s="458" t="s">
        <v>430</v>
      </c>
      <c r="D1317" s="449">
        <v>38113</v>
      </c>
      <c r="E1317" s="450" t="s">
        <v>245</v>
      </c>
      <c r="F1317" s="467">
        <v>0.07</v>
      </c>
      <c r="G1317" s="467" t="s">
        <v>321</v>
      </c>
      <c r="H1317" s="468">
        <v>0.1</v>
      </c>
      <c r="I1317" s="450">
        <v>0.07</v>
      </c>
      <c r="J1317" s="450" t="s">
        <v>322</v>
      </c>
      <c r="K1317" s="469">
        <v>124</v>
      </c>
      <c r="L1317" s="470">
        <v>1</v>
      </c>
      <c r="M1317" s="509"/>
    </row>
    <row r="1318" spans="1:13" ht="12.75">
      <c r="A1318" s="466" t="s">
        <v>318</v>
      </c>
      <c r="B1318" s="450" t="s">
        <v>412</v>
      </c>
      <c r="C1318" s="458" t="s">
        <v>430</v>
      </c>
      <c r="D1318" s="449">
        <v>38273</v>
      </c>
      <c r="E1318" s="450" t="s">
        <v>245</v>
      </c>
      <c r="F1318" s="467">
        <v>0.06</v>
      </c>
      <c r="G1318" s="467" t="s">
        <v>321</v>
      </c>
      <c r="H1318" s="468">
        <v>0.1</v>
      </c>
      <c r="I1318" s="450">
        <v>0.06</v>
      </c>
      <c r="J1318" s="450" t="s">
        <v>322</v>
      </c>
      <c r="K1318" s="469">
        <v>124</v>
      </c>
      <c r="L1318" s="470">
        <v>1</v>
      </c>
      <c r="M1318" s="509"/>
    </row>
    <row r="1319" spans="1:13" ht="12.75">
      <c r="A1319" s="466" t="s">
        <v>318</v>
      </c>
      <c r="B1319" s="450" t="s">
        <v>412</v>
      </c>
      <c r="C1319" s="458" t="s">
        <v>430</v>
      </c>
      <c r="D1319" s="449">
        <v>38477</v>
      </c>
      <c r="E1319" s="450" t="s">
        <v>245</v>
      </c>
      <c r="F1319" s="467">
        <v>0.059</v>
      </c>
      <c r="G1319" s="467" t="s">
        <v>321</v>
      </c>
      <c r="H1319" s="468">
        <v>0.1</v>
      </c>
      <c r="I1319" s="450">
        <v>0.059</v>
      </c>
      <c r="J1319" s="450" t="s">
        <v>322</v>
      </c>
      <c r="K1319" s="469">
        <v>124</v>
      </c>
      <c r="L1319" s="470">
        <v>1</v>
      </c>
      <c r="M1319" s="509"/>
    </row>
    <row r="1320" spans="1:13" ht="12.75">
      <c r="A1320" s="466" t="s">
        <v>318</v>
      </c>
      <c r="B1320" s="450" t="s">
        <v>412</v>
      </c>
      <c r="C1320" s="458" t="s">
        <v>430</v>
      </c>
      <c r="D1320" s="449">
        <v>38638</v>
      </c>
      <c r="E1320" s="450" t="s">
        <v>245</v>
      </c>
      <c r="F1320" s="467">
        <v>0.06</v>
      </c>
      <c r="G1320" s="467" t="s">
        <v>321</v>
      </c>
      <c r="H1320" s="468">
        <v>0.1</v>
      </c>
      <c r="I1320" s="450">
        <v>0.06</v>
      </c>
      <c r="J1320" s="450" t="s">
        <v>322</v>
      </c>
      <c r="K1320" s="469">
        <v>124</v>
      </c>
      <c r="L1320" s="470">
        <v>1</v>
      </c>
      <c r="M1320" s="509"/>
    </row>
    <row r="1321" spans="1:13" ht="12.75">
      <c r="A1321" s="466" t="s">
        <v>318</v>
      </c>
      <c r="B1321" s="450" t="s">
        <v>412</v>
      </c>
      <c r="C1321" s="458" t="s">
        <v>431</v>
      </c>
      <c r="D1321" s="449">
        <v>37173</v>
      </c>
      <c r="E1321" s="450" t="s">
        <v>245</v>
      </c>
      <c r="F1321" s="467">
        <v>0.05</v>
      </c>
      <c r="G1321" s="467" t="s">
        <v>321</v>
      </c>
      <c r="H1321" s="468">
        <v>0.1</v>
      </c>
      <c r="I1321" s="450">
        <v>0.05</v>
      </c>
      <c r="J1321" s="450" t="s">
        <v>322</v>
      </c>
      <c r="K1321" s="469">
        <v>125</v>
      </c>
      <c r="L1321" s="470">
        <v>1</v>
      </c>
      <c r="M1321" s="509"/>
    </row>
    <row r="1322" spans="1:13" ht="12.75">
      <c r="A1322" s="466" t="s">
        <v>318</v>
      </c>
      <c r="B1322" s="450" t="s">
        <v>412</v>
      </c>
      <c r="C1322" s="458" t="s">
        <v>431</v>
      </c>
      <c r="D1322" s="449">
        <v>37386</v>
      </c>
      <c r="E1322" s="450" t="s">
        <v>245</v>
      </c>
      <c r="F1322" s="467">
        <v>0.05</v>
      </c>
      <c r="G1322" s="467" t="s">
        <v>321</v>
      </c>
      <c r="H1322" s="468">
        <v>0.1</v>
      </c>
      <c r="I1322" s="450">
        <v>0.05</v>
      </c>
      <c r="J1322" s="450" t="s">
        <v>322</v>
      </c>
      <c r="K1322" s="469">
        <v>125</v>
      </c>
      <c r="L1322" s="470">
        <v>1</v>
      </c>
      <c r="M1322" s="509"/>
    </row>
    <row r="1323" spans="1:13" ht="12.75">
      <c r="A1323" s="466" t="s">
        <v>318</v>
      </c>
      <c r="B1323" s="450" t="s">
        <v>412</v>
      </c>
      <c r="C1323" s="458" t="s">
        <v>431</v>
      </c>
      <c r="D1323" s="449">
        <v>37537</v>
      </c>
      <c r="E1323" s="450" t="s">
        <v>245</v>
      </c>
      <c r="F1323" s="467">
        <v>0.05</v>
      </c>
      <c r="G1323" s="467" t="s">
        <v>321</v>
      </c>
      <c r="H1323" s="468">
        <v>0.1</v>
      </c>
      <c r="I1323" s="450">
        <v>0.05</v>
      </c>
      <c r="J1323" s="450" t="s">
        <v>322</v>
      </c>
      <c r="K1323" s="469">
        <v>125</v>
      </c>
      <c r="L1323" s="470">
        <v>1</v>
      </c>
      <c r="M1323" s="509"/>
    </row>
    <row r="1324" spans="1:13" ht="12.75">
      <c r="A1324" s="466" t="s">
        <v>318</v>
      </c>
      <c r="B1324" s="450" t="s">
        <v>412</v>
      </c>
      <c r="C1324" s="458" t="s">
        <v>431</v>
      </c>
      <c r="D1324" s="449">
        <v>37743</v>
      </c>
      <c r="E1324" s="450" t="s">
        <v>245</v>
      </c>
      <c r="F1324" s="467">
        <v>0.05</v>
      </c>
      <c r="G1324" s="467" t="s">
        <v>321</v>
      </c>
      <c r="H1324" s="468">
        <v>0.1</v>
      </c>
      <c r="I1324" s="450">
        <v>0.05</v>
      </c>
      <c r="J1324" s="450" t="s">
        <v>322</v>
      </c>
      <c r="K1324" s="469">
        <v>125</v>
      </c>
      <c r="L1324" s="470">
        <v>1</v>
      </c>
      <c r="M1324" s="509"/>
    </row>
    <row r="1325" spans="1:13" ht="12.75">
      <c r="A1325" s="466" t="s">
        <v>318</v>
      </c>
      <c r="B1325" s="450" t="s">
        <v>412</v>
      </c>
      <c r="C1325" s="458" t="s">
        <v>431</v>
      </c>
      <c r="D1325" s="449">
        <v>37897</v>
      </c>
      <c r="E1325" s="450" t="s">
        <v>245</v>
      </c>
      <c r="F1325" s="467">
        <v>0.05</v>
      </c>
      <c r="G1325" s="467" t="s">
        <v>321</v>
      </c>
      <c r="H1325" s="468">
        <v>0.1</v>
      </c>
      <c r="I1325" s="450">
        <v>0.05</v>
      </c>
      <c r="J1325" s="450" t="s">
        <v>322</v>
      </c>
      <c r="K1325" s="469">
        <v>125</v>
      </c>
      <c r="L1325" s="470">
        <v>1</v>
      </c>
      <c r="M1325" s="509"/>
    </row>
    <row r="1326" spans="1:13" ht="12.75">
      <c r="A1326" s="466" t="s">
        <v>318</v>
      </c>
      <c r="B1326" s="450" t="s">
        <v>412</v>
      </c>
      <c r="C1326" s="458" t="s">
        <v>431</v>
      </c>
      <c r="D1326" s="449">
        <v>38113</v>
      </c>
      <c r="E1326" s="450" t="s">
        <v>245</v>
      </c>
      <c r="F1326" s="467">
        <v>0.05</v>
      </c>
      <c r="G1326" s="467" t="s">
        <v>321</v>
      </c>
      <c r="H1326" s="468">
        <v>0.1</v>
      </c>
      <c r="I1326" s="450">
        <v>0.05</v>
      </c>
      <c r="J1326" s="450" t="s">
        <v>322</v>
      </c>
      <c r="K1326" s="469">
        <v>125</v>
      </c>
      <c r="L1326" s="470">
        <v>1</v>
      </c>
      <c r="M1326" s="509"/>
    </row>
    <row r="1327" spans="1:13" ht="12.75">
      <c r="A1327" s="466" t="s">
        <v>318</v>
      </c>
      <c r="B1327" s="450" t="s">
        <v>412</v>
      </c>
      <c r="C1327" s="458" t="s">
        <v>431</v>
      </c>
      <c r="D1327" s="449">
        <v>38273</v>
      </c>
      <c r="E1327" s="450" t="s">
        <v>245</v>
      </c>
      <c r="F1327" s="467">
        <v>0.06</v>
      </c>
      <c r="G1327" s="467" t="s">
        <v>321</v>
      </c>
      <c r="H1327" s="468">
        <v>0.1</v>
      </c>
      <c r="I1327" s="450">
        <v>0.06</v>
      </c>
      <c r="J1327" s="450" t="s">
        <v>322</v>
      </c>
      <c r="K1327" s="469">
        <v>125</v>
      </c>
      <c r="L1327" s="470">
        <v>1</v>
      </c>
      <c r="M1327" s="509"/>
    </row>
    <row r="1328" spans="1:13" ht="12.75">
      <c r="A1328" s="466" t="s">
        <v>318</v>
      </c>
      <c r="B1328" s="450" t="s">
        <v>412</v>
      </c>
      <c r="C1328" s="458" t="s">
        <v>431</v>
      </c>
      <c r="D1328" s="449">
        <v>38477</v>
      </c>
      <c r="E1328" s="450" t="s">
        <v>245</v>
      </c>
      <c r="F1328" s="467">
        <v>0.059</v>
      </c>
      <c r="G1328" s="467" t="s">
        <v>321</v>
      </c>
      <c r="H1328" s="468">
        <v>0.1</v>
      </c>
      <c r="I1328" s="450">
        <v>0.059</v>
      </c>
      <c r="J1328" s="450" t="s">
        <v>322</v>
      </c>
      <c r="K1328" s="469">
        <v>125</v>
      </c>
      <c r="L1328" s="470">
        <v>1</v>
      </c>
      <c r="M1328" s="509"/>
    </row>
    <row r="1329" spans="1:13" ht="12.75">
      <c r="A1329" s="466" t="s">
        <v>318</v>
      </c>
      <c r="B1329" s="450" t="s">
        <v>412</v>
      </c>
      <c r="C1329" s="458" t="s">
        <v>431</v>
      </c>
      <c r="D1329" s="449">
        <v>38638</v>
      </c>
      <c r="E1329" s="450" t="s">
        <v>245</v>
      </c>
      <c r="F1329" s="467">
        <v>0.03</v>
      </c>
      <c r="G1329" s="467" t="s">
        <v>321</v>
      </c>
      <c r="H1329" s="468">
        <v>0.1</v>
      </c>
      <c r="I1329" s="450">
        <v>0.03</v>
      </c>
      <c r="J1329" s="450" t="s">
        <v>322</v>
      </c>
      <c r="K1329" s="469">
        <v>125</v>
      </c>
      <c r="L1329" s="470">
        <v>1</v>
      </c>
      <c r="M1329" s="509"/>
    </row>
    <row r="1330" spans="1:13" ht="12.75">
      <c r="A1330" s="466"/>
      <c r="B1330" s="450" t="s">
        <v>459</v>
      </c>
      <c r="C1330" s="458" t="s">
        <v>450</v>
      </c>
      <c r="D1330" s="449">
        <v>37173</v>
      </c>
      <c r="E1330" s="450" t="s">
        <v>245</v>
      </c>
      <c r="F1330" s="467">
        <v>0.08</v>
      </c>
      <c r="G1330" s="467" t="s">
        <v>188</v>
      </c>
      <c r="H1330" s="468"/>
      <c r="I1330" s="450">
        <v>0.08</v>
      </c>
      <c r="J1330" s="450"/>
      <c r="K1330" s="469">
        <v>125.5</v>
      </c>
      <c r="L1330" s="470"/>
      <c r="M1330" s="509"/>
    </row>
    <row r="1331" spans="1:13" ht="12.75">
      <c r="A1331" s="466"/>
      <c r="B1331" s="450" t="s">
        <v>459</v>
      </c>
      <c r="C1331" s="458" t="s">
        <v>450</v>
      </c>
      <c r="D1331" s="449">
        <v>37386</v>
      </c>
      <c r="E1331" s="450" t="s">
        <v>245</v>
      </c>
      <c r="F1331" s="467">
        <v>0.08</v>
      </c>
      <c r="G1331" s="467" t="s">
        <v>188</v>
      </c>
      <c r="H1331" s="468"/>
      <c r="I1331" s="450">
        <v>0.08</v>
      </c>
      <c r="J1331" s="450"/>
      <c r="K1331" s="469">
        <v>125.5</v>
      </c>
      <c r="L1331" s="470"/>
      <c r="M1331" s="509"/>
    </row>
    <row r="1332" spans="1:13" ht="12.75">
      <c r="A1332" s="466"/>
      <c r="B1332" s="450" t="s">
        <v>459</v>
      </c>
      <c r="C1332" s="458" t="s">
        <v>450</v>
      </c>
      <c r="D1332" s="449">
        <v>37537</v>
      </c>
      <c r="E1332" s="450" t="s">
        <v>245</v>
      </c>
      <c r="F1332" s="467">
        <v>0.07</v>
      </c>
      <c r="G1332" s="467" t="s">
        <v>188</v>
      </c>
      <c r="H1332" s="468"/>
      <c r="I1332" s="450">
        <v>0.07</v>
      </c>
      <c r="J1332" s="450"/>
      <c r="K1332" s="469">
        <v>125.5</v>
      </c>
      <c r="L1332" s="470"/>
      <c r="M1332" s="509"/>
    </row>
    <row r="1333" spans="1:13" ht="12.75">
      <c r="A1333" s="466"/>
      <c r="B1333" s="450" t="s">
        <v>459</v>
      </c>
      <c r="C1333" s="458" t="s">
        <v>450</v>
      </c>
      <c r="D1333" s="449">
        <v>37743</v>
      </c>
      <c r="E1333" s="450" t="s">
        <v>245</v>
      </c>
      <c r="F1333" s="467">
        <v>0.07</v>
      </c>
      <c r="G1333" s="467" t="s">
        <v>188</v>
      </c>
      <c r="H1333" s="468"/>
      <c r="I1333" s="450">
        <v>0.07</v>
      </c>
      <c r="J1333" s="450"/>
      <c r="K1333" s="469">
        <v>125.5</v>
      </c>
      <c r="L1333" s="470"/>
      <c r="M1333" s="509"/>
    </row>
    <row r="1334" spans="1:13" ht="12.75">
      <c r="A1334" s="466"/>
      <c r="B1334" s="450" t="s">
        <v>459</v>
      </c>
      <c r="C1334" s="458" t="s">
        <v>450</v>
      </c>
      <c r="D1334" s="449">
        <v>37897</v>
      </c>
      <c r="E1334" s="450" t="s">
        <v>245</v>
      </c>
      <c r="F1334" s="467">
        <v>0.07</v>
      </c>
      <c r="G1334" s="467" t="s">
        <v>188</v>
      </c>
      <c r="H1334" s="468"/>
      <c r="I1334" s="450">
        <v>0.07</v>
      </c>
      <c r="J1334" s="450"/>
      <c r="K1334" s="469">
        <v>125.5</v>
      </c>
      <c r="L1334" s="470"/>
      <c r="M1334" s="509"/>
    </row>
    <row r="1335" spans="1:13" ht="12.75">
      <c r="A1335" s="466"/>
      <c r="B1335" s="450" t="s">
        <v>459</v>
      </c>
      <c r="C1335" s="458" t="s">
        <v>450</v>
      </c>
      <c r="D1335" s="449">
        <v>38113</v>
      </c>
      <c r="E1335" s="450" t="s">
        <v>245</v>
      </c>
      <c r="F1335" s="467">
        <v>0.07</v>
      </c>
      <c r="G1335" s="467" t="s">
        <v>188</v>
      </c>
      <c r="H1335" s="468"/>
      <c r="I1335" s="450">
        <v>0.07</v>
      </c>
      <c r="J1335" s="450"/>
      <c r="K1335" s="469">
        <v>125.5</v>
      </c>
      <c r="L1335" s="470"/>
      <c r="M1335" s="509"/>
    </row>
    <row r="1336" spans="1:13" ht="12.75">
      <c r="A1336" s="466"/>
      <c r="B1336" s="450" t="s">
        <v>459</v>
      </c>
      <c r="C1336" s="458" t="s">
        <v>450</v>
      </c>
      <c r="D1336" s="449">
        <v>38273</v>
      </c>
      <c r="E1336" s="450" t="s">
        <v>245</v>
      </c>
      <c r="F1336" s="467">
        <v>0.06</v>
      </c>
      <c r="G1336" s="467" t="s">
        <v>188</v>
      </c>
      <c r="H1336" s="468"/>
      <c r="I1336" s="450">
        <v>0.06</v>
      </c>
      <c r="J1336" s="450"/>
      <c r="K1336" s="469">
        <v>125.5</v>
      </c>
      <c r="L1336" s="470"/>
      <c r="M1336" s="509"/>
    </row>
    <row r="1337" spans="1:13" ht="12.75">
      <c r="A1337" s="466"/>
      <c r="B1337" s="450" t="s">
        <v>459</v>
      </c>
      <c r="C1337" s="458" t="s">
        <v>450</v>
      </c>
      <c r="D1337" s="449">
        <v>38477</v>
      </c>
      <c r="E1337" s="450" t="s">
        <v>245</v>
      </c>
      <c r="F1337" s="467">
        <v>0.059</v>
      </c>
      <c r="G1337" s="467" t="s">
        <v>188</v>
      </c>
      <c r="H1337" s="468"/>
      <c r="I1337" s="450">
        <v>0.059</v>
      </c>
      <c r="J1337" s="450"/>
      <c r="K1337" s="469">
        <v>125.5</v>
      </c>
      <c r="L1337" s="470"/>
      <c r="M1337" s="509"/>
    </row>
    <row r="1338" spans="1:13" ht="12.75">
      <c r="A1338" s="466"/>
      <c r="B1338" s="450" t="s">
        <v>459</v>
      </c>
      <c r="C1338" s="458" t="s">
        <v>450</v>
      </c>
      <c r="D1338" s="449">
        <v>38638</v>
      </c>
      <c r="E1338" s="450" t="s">
        <v>245</v>
      </c>
      <c r="F1338" s="467">
        <v>0.06</v>
      </c>
      <c r="G1338" s="467" t="s">
        <v>188</v>
      </c>
      <c r="H1338" s="468"/>
      <c r="I1338" s="450">
        <v>0.06</v>
      </c>
      <c r="J1338" s="450"/>
      <c r="K1338" s="469">
        <v>125.5</v>
      </c>
      <c r="L1338" s="470"/>
      <c r="M1338" s="509"/>
    </row>
    <row r="1339" spans="1:13" ht="12.75">
      <c r="A1339" s="466" t="s">
        <v>318</v>
      </c>
      <c r="B1339" s="450" t="s">
        <v>412</v>
      </c>
      <c r="C1339" s="458" t="s">
        <v>138</v>
      </c>
      <c r="D1339" s="449">
        <v>37173</v>
      </c>
      <c r="E1339" s="450" t="s">
        <v>245</v>
      </c>
      <c r="F1339" s="467">
        <v>0.2</v>
      </c>
      <c r="G1339" s="467" t="s">
        <v>321</v>
      </c>
      <c r="H1339" s="468">
        <v>0.5</v>
      </c>
      <c r="I1339" s="450">
        <v>0.2</v>
      </c>
      <c r="J1339" s="450" t="s">
        <v>322</v>
      </c>
      <c r="K1339" s="469">
        <v>126</v>
      </c>
      <c r="L1339" s="470">
        <v>1</v>
      </c>
      <c r="M1339" s="509"/>
    </row>
    <row r="1340" spans="1:13" ht="12.75">
      <c r="A1340" s="466" t="s">
        <v>318</v>
      </c>
      <c r="B1340" s="450" t="s">
        <v>412</v>
      </c>
      <c r="C1340" s="458" t="s">
        <v>138</v>
      </c>
      <c r="D1340" s="449">
        <v>37386</v>
      </c>
      <c r="E1340" s="450" t="s">
        <v>245</v>
      </c>
      <c r="F1340" s="467">
        <v>0.2</v>
      </c>
      <c r="G1340" s="467" t="s">
        <v>321</v>
      </c>
      <c r="H1340" s="468">
        <v>0.5</v>
      </c>
      <c r="I1340" s="450">
        <v>0.2</v>
      </c>
      <c r="J1340" s="450" t="s">
        <v>322</v>
      </c>
      <c r="K1340" s="469">
        <v>126</v>
      </c>
      <c r="L1340" s="470">
        <v>1</v>
      </c>
      <c r="M1340" s="509"/>
    </row>
    <row r="1341" spans="1:13" ht="12.75">
      <c r="A1341" s="466" t="s">
        <v>318</v>
      </c>
      <c r="B1341" s="450" t="s">
        <v>412</v>
      </c>
      <c r="C1341" s="458" t="s">
        <v>138</v>
      </c>
      <c r="D1341" s="449">
        <v>37537</v>
      </c>
      <c r="E1341" s="450" t="s">
        <v>245</v>
      </c>
      <c r="F1341" s="467">
        <v>0.4</v>
      </c>
      <c r="G1341" s="467" t="s">
        <v>321</v>
      </c>
      <c r="H1341" s="468">
        <v>0.5</v>
      </c>
      <c r="I1341" s="450">
        <v>0.4</v>
      </c>
      <c r="J1341" s="450" t="s">
        <v>322</v>
      </c>
      <c r="K1341" s="469">
        <v>126</v>
      </c>
      <c r="L1341" s="470">
        <v>1</v>
      </c>
      <c r="M1341" s="509"/>
    </row>
    <row r="1342" spans="1:13" ht="12.75">
      <c r="A1342" s="466" t="s">
        <v>318</v>
      </c>
      <c r="B1342" s="450" t="s">
        <v>412</v>
      </c>
      <c r="C1342" s="458" t="s">
        <v>138</v>
      </c>
      <c r="D1342" s="449">
        <v>37743</v>
      </c>
      <c r="E1342" s="450" t="s">
        <v>245</v>
      </c>
      <c r="F1342" s="467">
        <v>0.4</v>
      </c>
      <c r="G1342" s="467" t="s">
        <v>321</v>
      </c>
      <c r="H1342" s="468">
        <v>0.5</v>
      </c>
      <c r="I1342" s="450">
        <v>0.4</v>
      </c>
      <c r="J1342" s="450" t="s">
        <v>322</v>
      </c>
      <c r="K1342" s="469">
        <v>126</v>
      </c>
      <c r="L1342" s="470">
        <v>1</v>
      </c>
      <c r="M1342" s="509"/>
    </row>
    <row r="1343" spans="1:13" ht="12.75">
      <c r="A1343" s="466" t="s">
        <v>318</v>
      </c>
      <c r="B1343" s="450" t="s">
        <v>412</v>
      </c>
      <c r="C1343" s="458" t="s">
        <v>138</v>
      </c>
      <c r="D1343" s="449">
        <v>37897</v>
      </c>
      <c r="E1343" s="450" t="s">
        <v>245</v>
      </c>
      <c r="F1343" s="467">
        <v>0.4</v>
      </c>
      <c r="G1343" s="467" t="s">
        <v>321</v>
      </c>
      <c r="H1343" s="468">
        <v>0.5</v>
      </c>
      <c r="I1343" s="450">
        <v>0.4</v>
      </c>
      <c r="J1343" s="450" t="s">
        <v>322</v>
      </c>
      <c r="K1343" s="469">
        <v>126</v>
      </c>
      <c r="L1343" s="470">
        <v>1</v>
      </c>
      <c r="M1343" s="509"/>
    </row>
    <row r="1344" spans="1:13" ht="12.75">
      <c r="A1344" s="466" t="s">
        <v>318</v>
      </c>
      <c r="B1344" s="450" t="s">
        <v>412</v>
      </c>
      <c r="C1344" s="458" t="s">
        <v>138</v>
      </c>
      <c r="D1344" s="449">
        <v>38113</v>
      </c>
      <c r="E1344" s="450" t="s">
        <v>245</v>
      </c>
      <c r="F1344" s="467">
        <v>0.4</v>
      </c>
      <c r="G1344" s="467" t="s">
        <v>321</v>
      </c>
      <c r="H1344" s="468">
        <v>0.5</v>
      </c>
      <c r="I1344" s="450">
        <v>0.4</v>
      </c>
      <c r="J1344" s="450" t="s">
        <v>322</v>
      </c>
      <c r="K1344" s="469">
        <v>126</v>
      </c>
      <c r="L1344" s="470">
        <v>1</v>
      </c>
      <c r="M1344" s="509"/>
    </row>
    <row r="1345" spans="1:13" ht="12.75">
      <c r="A1345" s="466" t="s">
        <v>318</v>
      </c>
      <c r="B1345" s="450" t="s">
        <v>412</v>
      </c>
      <c r="C1345" s="458" t="s">
        <v>138</v>
      </c>
      <c r="D1345" s="449">
        <v>38273</v>
      </c>
      <c r="E1345" s="450" t="s">
        <v>245</v>
      </c>
      <c r="F1345" s="467">
        <v>0.42</v>
      </c>
      <c r="G1345" s="467" t="s">
        <v>321</v>
      </c>
      <c r="H1345" s="468">
        <v>0.5</v>
      </c>
      <c r="I1345" s="450">
        <v>0.42</v>
      </c>
      <c r="J1345" s="450" t="s">
        <v>322</v>
      </c>
      <c r="K1345" s="469">
        <v>126</v>
      </c>
      <c r="L1345" s="470">
        <v>1</v>
      </c>
      <c r="M1345" s="509"/>
    </row>
    <row r="1346" spans="1:13" ht="12.75">
      <c r="A1346" s="466" t="s">
        <v>318</v>
      </c>
      <c r="B1346" s="450" t="s">
        <v>412</v>
      </c>
      <c r="C1346" s="458" t="s">
        <v>138</v>
      </c>
      <c r="D1346" s="449">
        <v>38477</v>
      </c>
      <c r="E1346" s="450" t="s">
        <v>245</v>
      </c>
      <c r="F1346" s="467">
        <v>0.15</v>
      </c>
      <c r="G1346" s="467" t="s">
        <v>321</v>
      </c>
      <c r="H1346" s="468">
        <v>0.5</v>
      </c>
      <c r="I1346" s="450">
        <v>0.15</v>
      </c>
      <c r="J1346" s="450" t="s">
        <v>322</v>
      </c>
      <c r="K1346" s="469">
        <v>126</v>
      </c>
      <c r="L1346" s="470">
        <v>1</v>
      </c>
      <c r="M1346" s="509"/>
    </row>
    <row r="1347" spans="1:13" ht="12.75">
      <c r="A1347" s="466" t="s">
        <v>318</v>
      </c>
      <c r="B1347" s="450" t="s">
        <v>412</v>
      </c>
      <c r="C1347" s="458" t="s">
        <v>138</v>
      </c>
      <c r="D1347" s="449">
        <v>38638</v>
      </c>
      <c r="E1347" s="450" t="s">
        <v>245</v>
      </c>
      <c r="F1347" s="467">
        <v>0.15</v>
      </c>
      <c r="G1347" s="467" t="s">
        <v>321</v>
      </c>
      <c r="H1347" s="468">
        <v>0.5</v>
      </c>
      <c r="I1347" s="450">
        <v>0.15</v>
      </c>
      <c r="J1347" s="450" t="s">
        <v>322</v>
      </c>
      <c r="K1347" s="469">
        <v>126</v>
      </c>
      <c r="L1347" s="470">
        <v>1</v>
      </c>
      <c r="M1347" s="509"/>
    </row>
    <row r="1348" spans="1:13" ht="12.75">
      <c r="A1348" s="466"/>
      <c r="B1348" s="450" t="s">
        <v>460</v>
      </c>
      <c r="C1348" s="458" t="s">
        <v>451</v>
      </c>
      <c r="D1348" s="449">
        <v>36802</v>
      </c>
      <c r="E1348" s="450" t="s">
        <v>245</v>
      </c>
      <c r="F1348" s="467">
        <v>0.3</v>
      </c>
      <c r="G1348" s="467" t="s">
        <v>188</v>
      </c>
      <c r="H1348" s="468"/>
      <c r="I1348" s="450">
        <v>0.3</v>
      </c>
      <c r="J1348" s="450"/>
      <c r="K1348" s="469">
        <v>1002</v>
      </c>
      <c r="L1348" s="470"/>
      <c r="M1348" s="509"/>
    </row>
    <row r="1349" spans="1:13" ht="12.75">
      <c r="A1349" s="466"/>
      <c r="B1349" s="450" t="s">
        <v>460</v>
      </c>
      <c r="C1349" s="458" t="s">
        <v>451</v>
      </c>
      <c r="D1349" s="449">
        <v>37386</v>
      </c>
      <c r="E1349" s="450" t="s">
        <v>245</v>
      </c>
      <c r="F1349" s="467">
        <v>0.16</v>
      </c>
      <c r="G1349" s="467" t="s">
        <v>188</v>
      </c>
      <c r="H1349" s="468"/>
      <c r="I1349" s="450">
        <v>0.16</v>
      </c>
      <c r="J1349" s="450"/>
      <c r="K1349" s="469">
        <v>1002</v>
      </c>
      <c r="L1349" s="470"/>
      <c r="M1349" s="509"/>
    </row>
    <row r="1350" spans="1:13" ht="12.75">
      <c r="A1350" s="466"/>
      <c r="B1350" s="450" t="s">
        <v>460</v>
      </c>
      <c r="C1350" s="458" t="s">
        <v>451</v>
      </c>
      <c r="D1350" s="449">
        <v>37537</v>
      </c>
      <c r="E1350" s="450" t="s">
        <v>245</v>
      </c>
      <c r="F1350" s="467">
        <v>0.16</v>
      </c>
      <c r="G1350" s="467" t="s">
        <v>188</v>
      </c>
      <c r="H1350" s="468"/>
      <c r="I1350" s="450">
        <v>0.16</v>
      </c>
      <c r="J1350" s="450"/>
      <c r="K1350" s="469">
        <v>1002</v>
      </c>
      <c r="L1350" s="470"/>
      <c r="M1350" s="509"/>
    </row>
    <row r="1351" spans="1:13" ht="12.75">
      <c r="A1351" s="466"/>
      <c r="B1351" s="450" t="s">
        <v>460</v>
      </c>
      <c r="C1351" s="458" t="s">
        <v>451</v>
      </c>
      <c r="D1351" s="449">
        <v>37743</v>
      </c>
      <c r="E1351" s="450" t="s">
        <v>245</v>
      </c>
      <c r="F1351" s="467">
        <v>0.16</v>
      </c>
      <c r="G1351" s="467" t="s">
        <v>188</v>
      </c>
      <c r="H1351" s="468"/>
      <c r="I1351" s="450">
        <v>0.16</v>
      </c>
      <c r="J1351" s="450"/>
      <c r="K1351" s="469">
        <v>1002</v>
      </c>
      <c r="L1351" s="470"/>
      <c r="M1351" s="509"/>
    </row>
    <row r="1352" spans="1:13" ht="12.75">
      <c r="A1352" s="466"/>
      <c r="B1352" s="450" t="s">
        <v>460</v>
      </c>
      <c r="C1352" s="458" t="s">
        <v>451</v>
      </c>
      <c r="D1352" s="449">
        <v>37897</v>
      </c>
      <c r="E1352" s="450" t="s">
        <v>245</v>
      </c>
      <c r="F1352" s="467">
        <v>0.16</v>
      </c>
      <c r="G1352" s="467" t="s">
        <v>188</v>
      </c>
      <c r="H1352" s="468"/>
      <c r="I1352" s="450">
        <v>0.16</v>
      </c>
      <c r="J1352" s="450"/>
      <c r="K1352" s="469">
        <v>1002</v>
      </c>
      <c r="L1352" s="470"/>
      <c r="M1352" s="509"/>
    </row>
    <row r="1353" spans="1:13" ht="12.75">
      <c r="A1353" s="466"/>
      <c r="B1353" s="450" t="s">
        <v>460</v>
      </c>
      <c r="C1353" s="458" t="s">
        <v>451</v>
      </c>
      <c r="D1353" s="449">
        <v>38113</v>
      </c>
      <c r="E1353" s="450" t="s">
        <v>245</v>
      </c>
      <c r="F1353" s="467">
        <v>0.16</v>
      </c>
      <c r="G1353" s="467" t="s">
        <v>188</v>
      </c>
      <c r="H1353" s="468"/>
      <c r="I1353" s="450">
        <v>0.16</v>
      </c>
      <c r="J1353" s="450"/>
      <c r="K1353" s="469">
        <v>1002</v>
      </c>
      <c r="L1353" s="470"/>
      <c r="M1353" s="509"/>
    </row>
    <row r="1354" spans="1:13" ht="12.75">
      <c r="A1354" s="466"/>
      <c r="B1354" s="450" t="s">
        <v>460</v>
      </c>
      <c r="C1354" s="458" t="s">
        <v>451</v>
      </c>
      <c r="D1354" s="449">
        <v>38273</v>
      </c>
      <c r="E1354" s="450" t="s">
        <v>245</v>
      </c>
      <c r="F1354" s="467">
        <v>0.04</v>
      </c>
      <c r="G1354" s="467" t="s">
        <v>188</v>
      </c>
      <c r="H1354" s="468"/>
      <c r="I1354" s="450">
        <v>0.04</v>
      </c>
      <c r="J1354" s="450"/>
      <c r="K1354" s="469">
        <v>1002</v>
      </c>
      <c r="L1354" s="470"/>
      <c r="M1354" s="509"/>
    </row>
    <row r="1355" spans="1:13" ht="12.75">
      <c r="A1355" s="466"/>
      <c r="B1355" s="450" t="s">
        <v>460</v>
      </c>
      <c r="C1355" s="458" t="s">
        <v>451</v>
      </c>
      <c r="D1355" s="449">
        <v>38477</v>
      </c>
      <c r="E1355" s="450" t="s">
        <v>245</v>
      </c>
      <c r="F1355" s="467">
        <v>0.039</v>
      </c>
      <c r="G1355" s="467" t="s">
        <v>188</v>
      </c>
      <c r="H1355" s="468"/>
      <c r="I1355" s="450">
        <v>0.039</v>
      </c>
      <c r="J1355" s="450"/>
      <c r="K1355" s="469">
        <v>1002</v>
      </c>
      <c r="L1355" s="470"/>
      <c r="M1355" s="509"/>
    </row>
    <row r="1356" spans="1:13" ht="12.75">
      <c r="A1356" s="466"/>
      <c r="B1356" s="450" t="s">
        <v>460</v>
      </c>
      <c r="C1356" s="458" t="s">
        <v>451</v>
      </c>
      <c r="D1356" s="449">
        <v>38638</v>
      </c>
      <c r="E1356" s="450" t="s">
        <v>245</v>
      </c>
      <c r="F1356" s="467">
        <v>0.04</v>
      </c>
      <c r="G1356" s="467" t="s">
        <v>188</v>
      </c>
      <c r="H1356" s="468"/>
      <c r="I1356" s="450">
        <v>0.04</v>
      </c>
      <c r="J1356" s="450"/>
      <c r="K1356" s="469">
        <v>1002</v>
      </c>
      <c r="L1356" s="470"/>
      <c r="M1356" s="509"/>
    </row>
    <row r="1357" spans="1:12" ht="12.75">
      <c r="A1357" s="483"/>
      <c r="B1357" s="484"/>
      <c r="C1357" s="484"/>
      <c r="D1357" s="484"/>
      <c r="E1357" s="484"/>
      <c r="F1357" s="484"/>
      <c r="G1357" s="484"/>
      <c r="H1357" s="484"/>
      <c r="I1357" s="484"/>
      <c r="J1357" s="484"/>
      <c r="K1357" s="484"/>
      <c r="L1357" s="486"/>
    </row>
  </sheetData>
  <printOptions/>
  <pageMargins left="0.75" right="0.75" top="1" bottom="1" header="0.5" footer="0.5"/>
  <pageSetup fitToHeight="100" fitToWidth="1" horizontalDpi="300" verticalDpi="300" orientation="portrait" scale="78" r:id="rId3"/>
  <headerFooter alignWithMargins="0">
    <oddHeader>&amp;C&amp;15Effluent Priority Pollutant Concentration Data&amp;R&amp;12Rodeo Sanitary District
Tentative Order</oddHeader>
    <oddFooter>&amp;L&amp;F &amp;.xls&amp;  (&amp;A&amp; )&amp;CPage &amp;P of &amp;N&amp;R&amp;D</oddFooter>
  </headerFooter>
  <legacyDrawing r:id="rId2"/>
</worksheet>
</file>

<file path=xl/worksheets/sheet8.xml><?xml version="1.0" encoding="utf-8"?>
<worksheet xmlns="http://schemas.openxmlformats.org/spreadsheetml/2006/main" xmlns:r="http://schemas.openxmlformats.org/officeDocument/2006/relationships">
  <sheetPr codeName="Sheet10">
    <pageSetUpPr fitToPage="1"/>
  </sheetPr>
  <dimension ref="A1:AC20"/>
  <sheetViews>
    <sheetView zoomScale="87" zoomScaleNormal="87" workbookViewId="0" topLeftCell="A1">
      <selection activeCell="A1" sqref="A1"/>
    </sheetView>
  </sheetViews>
  <sheetFormatPr defaultColWidth="9.140625" defaultRowHeight="12.75"/>
  <cols>
    <col min="3" max="3" width="15.28125" style="0" customWidth="1"/>
    <col min="4" max="4" width="12.8515625" style="0" customWidth="1"/>
    <col min="13" max="13" width="4.8515625" style="0" customWidth="1"/>
    <col min="14" max="14" width="3.140625" style="0" customWidth="1"/>
    <col min="15" max="15" width="13.57421875" style="0" customWidth="1"/>
    <col min="16" max="16" width="7.7109375" style="0" customWidth="1"/>
    <col min="17" max="17" width="13.8515625" style="0" customWidth="1"/>
    <col min="18" max="18" width="7.28125" style="0" customWidth="1"/>
    <col min="19" max="19" width="16.00390625" style="0" customWidth="1"/>
    <col min="20" max="20" width="7.00390625" style="0" customWidth="1"/>
    <col min="21" max="21" width="15.140625" style="0" customWidth="1"/>
    <col min="22" max="22" width="7.28125" style="0" customWidth="1"/>
    <col min="23" max="23" width="16.140625" style="0" customWidth="1"/>
    <col min="24" max="24" width="11.28125" style="0" customWidth="1"/>
  </cols>
  <sheetData>
    <row r="1" spans="1:17" ht="13.5" thickBot="1">
      <c r="A1" s="345"/>
      <c r="B1" s="344"/>
      <c r="C1" s="342"/>
      <c r="D1" s="342"/>
      <c r="E1" s="342"/>
      <c r="F1" s="342"/>
      <c r="G1" s="342"/>
      <c r="H1" s="342"/>
      <c r="I1" s="342"/>
      <c r="J1" s="342"/>
      <c r="K1" s="342"/>
      <c r="L1" s="342"/>
      <c r="O1" s="770" t="s">
        <v>461</v>
      </c>
      <c r="P1" s="771"/>
      <c r="Q1" s="771"/>
    </row>
    <row r="2" spans="1:23" ht="14.25" thickBot="1" thickTop="1">
      <c r="A2" s="343" t="s">
        <v>313</v>
      </c>
      <c r="B2" s="343" t="s">
        <v>314</v>
      </c>
      <c r="C2" s="343" t="s">
        <v>315</v>
      </c>
      <c r="D2" s="343" t="s">
        <v>234</v>
      </c>
      <c r="E2" s="343" t="s">
        <v>271</v>
      </c>
      <c r="F2" s="343" t="s">
        <v>268</v>
      </c>
      <c r="G2" s="343" t="s">
        <v>316</v>
      </c>
      <c r="H2" s="343" t="s">
        <v>263</v>
      </c>
      <c r="I2" s="343" t="s">
        <v>264</v>
      </c>
      <c r="J2" s="343" t="s">
        <v>265</v>
      </c>
      <c r="K2" s="343" t="s">
        <v>317</v>
      </c>
      <c r="L2" s="343" t="s">
        <v>266</v>
      </c>
      <c r="O2" s="409"/>
      <c r="P2" s="362" t="s">
        <v>278</v>
      </c>
      <c r="Q2" s="364" t="s">
        <v>456</v>
      </c>
      <c r="R2" s="372" t="s">
        <v>278</v>
      </c>
      <c r="S2" s="373" t="s">
        <v>456</v>
      </c>
      <c r="T2" s="366" t="s">
        <v>278</v>
      </c>
      <c r="U2" s="364" t="s">
        <v>456</v>
      </c>
      <c r="V2" s="372" t="s">
        <v>278</v>
      </c>
      <c r="W2" s="363" t="s">
        <v>456</v>
      </c>
    </row>
    <row r="3" spans="2:23" ht="13.5" thickTop="1">
      <c r="B3" t="s">
        <v>472</v>
      </c>
      <c r="C3" t="s">
        <v>450</v>
      </c>
      <c r="D3" s="299">
        <v>37173</v>
      </c>
      <c r="E3" t="s">
        <v>245</v>
      </c>
      <c r="F3">
        <v>0.08</v>
      </c>
      <c r="G3" t="s">
        <v>188</v>
      </c>
      <c r="I3">
        <v>0.08</v>
      </c>
      <c r="K3">
        <v>125.5</v>
      </c>
      <c r="O3" s="384" t="s">
        <v>462</v>
      </c>
      <c r="P3" s="374">
        <v>125.5</v>
      </c>
      <c r="Q3" s="365" t="s">
        <v>450</v>
      </c>
      <c r="R3" s="374">
        <v>1002</v>
      </c>
      <c r="S3" s="375" t="s">
        <v>451</v>
      </c>
      <c r="T3" s="367"/>
      <c r="U3" s="365"/>
      <c r="V3" s="374"/>
      <c r="W3" s="358"/>
    </row>
    <row r="4" spans="2:23" ht="12.75">
      <c r="B4" t="s">
        <v>472</v>
      </c>
      <c r="C4" t="s">
        <v>450</v>
      </c>
      <c r="D4" s="299">
        <v>37386</v>
      </c>
      <c r="E4" t="s">
        <v>245</v>
      </c>
      <c r="F4">
        <v>0.08</v>
      </c>
      <c r="G4" t="s">
        <v>188</v>
      </c>
      <c r="I4">
        <v>0.08</v>
      </c>
      <c r="K4">
        <v>125.5</v>
      </c>
      <c r="O4" s="385" t="s">
        <v>441</v>
      </c>
      <c r="P4" s="376">
        <v>119</v>
      </c>
      <c r="Q4" s="410" t="s">
        <v>425</v>
      </c>
      <c r="R4" s="376">
        <v>57</v>
      </c>
      <c r="S4" s="377" t="s">
        <v>374</v>
      </c>
      <c r="T4" s="368"/>
      <c r="U4" s="389"/>
      <c r="V4" s="392"/>
      <c r="W4" s="359"/>
    </row>
    <row r="5" spans="2:29" ht="12.75">
      <c r="B5" t="s">
        <v>472</v>
      </c>
      <c r="C5" t="s">
        <v>450</v>
      </c>
      <c r="D5" s="299">
        <v>37537</v>
      </c>
      <c r="E5" t="s">
        <v>245</v>
      </c>
      <c r="F5">
        <v>0.07</v>
      </c>
      <c r="G5" t="s">
        <v>188</v>
      </c>
      <c r="I5">
        <v>0.07</v>
      </c>
      <c r="K5">
        <v>125.5</v>
      </c>
      <c r="O5" s="386" t="s">
        <v>440</v>
      </c>
      <c r="P5" s="378">
        <v>120</v>
      </c>
      <c r="Q5" s="411" t="s">
        <v>426</v>
      </c>
      <c r="R5" s="378">
        <v>58</v>
      </c>
      <c r="S5" s="379" t="s">
        <v>86</v>
      </c>
      <c r="T5" s="369"/>
      <c r="U5" s="390"/>
      <c r="V5" s="393"/>
      <c r="W5" s="360"/>
      <c r="Z5" s="357"/>
      <c r="AA5" s="357"/>
      <c r="AB5" s="357"/>
      <c r="AC5" s="357"/>
    </row>
    <row r="6" spans="2:29" ht="12.75">
      <c r="B6" t="s">
        <v>472</v>
      </c>
      <c r="C6" t="s">
        <v>450</v>
      </c>
      <c r="D6" s="299">
        <v>37743</v>
      </c>
      <c r="E6" t="s">
        <v>245</v>
      </c>
      <c r="F6">
        <v>0.07</v>
      </c>
      <c r="G6" t="s">
        <v>188</v>
      </c>
      <c r="I6">
        <v>0.07</v>
      </c>
      <c r="K6">
        <v>125.5</v>
      </c>
      <c r="O6" s="386" t="s">
        <v>442</v>
      </c>
      <c r="P6" s="378">
        <v>121</v>
      </c>
      <c r="Q6" s="411" t="s">
        <v>427</v>
      </c>
      <c r="R6" s="378">
        <v>60</v>
      </c>
      <c r="S6" s="379" t="s">
        <v>375</v>
      </c>
      <c r="T6" s="369"/>
      <c r="U6" s="390"/>
      <c r="V6" s="393"/>
      <c r="W6" s="360"/>
      <c r="Z6" s="357"/>
      <c r="AA6" s="357"/>
      <c r="AB6" s="357"/>
      <c r="AC6" s="357"/>
    </row>
    <row r="7" spans="2:29" ht="12.75">
      <c r="B7" t="s">
        <v>472</v>
      </c>
      <c r="C7" t="s">
        <v>450</v>
      </c>
      <c r="D7" s="299">
        <v>37897</v>
      </c>
      <c r="E7" t="s">
        <v>245</v>
      </c>
      <c r="F7">
        <v>0.07</v>
      </c>
      <c r="G7" t="s">
        <v>188</v>
      </c>
      <c r="I7">
        <v>0.07</v>
      </c>
      <c r="K7">
        <v>125.5</v>
      </c>
      <c r="O7" s="386" t="s">
        <v>443</v>
      </c>
      <c r="P7" s="378">
        <v>122</v>
      </c>
      <c r="Q7" s="411" t="s">
        <v>428</v>
      </c>
      <c r="R7" s="378">
        <v>61</v>
      </c>
      <c r="S7" s="379" t="s">
        <v>376</v>
      </c>
      <c r="T7" s="369"/>
      <c r="U7" s="390"/>
      <c r="V7" s="393"/>
      <c r="W7" s="360"/>
      <c r="Z7" s="357"/>
      <c r="AA7" s="357"/>
      <c r="AB7" s="357"/>
      <c r="AC7" s="357"/>
    </row>
    <row r="8" spans="2:29" ht="12.75">
      <c r="B8" t="s">
        <v>472</v>
      </c>
      <c r="C8" t="s">
        <v>450</v>
      </c>
      <c r="D8" s="299">
        <v>38113</v>
      </c>
      <c r="E8" t="s">
        <v>245</v>
      </c>
      <c r="F8">
        <v>0.07</v>
      </c>
      <c r="G8" t="s">
        <v>188</v>
      </c>
      <c r="I8">
        <v>0.07</v>
      </c>
      <c r="K8">
        <v>125.5</v>
      </c>
      <c r="O8" s="386" t="s">
        <v>444</v>
      </c>
      <c r="P8" s="378">
        <v>123</v>
      </c>
      <c r="Q8" s="411" t="s">
        <v>429</v>
      </c>
      <c r="R8" s="378">
        <v>62</v>
      </c>
      <c r="S8" s="379" t="s">
        <v>377</v>
      </c>
      <c r="T8" s="369"/>
      <c r="U8" s="390"/>
      <c r="V8" s="393"/>
      <c r="W8" s="360"/>
      <c r="X8" s="357"/>
      <c r="Y8" s="357"/>
      <c r="Z8" s="357"/>
      <c r="AA8" s="357"/>
      <c r="AB8" s="357"/>
      <c r="AC8" s="357"/>
    </row>
    <row r="9" spans="2:29" ht="12.75">
      <c r="B9" t="s">
        <v>472</v>
      </c>
      <c r="C9" t="s">
        <v>450</v>
      </c>
      <c r="D9" s="299">
        <v>38273</v>
      </c>
      <c r="E9" t="s">
        <v>245</v>
      </c>
      <c r="F9">
        <v>0.06</v>
      </c>
      <c r="G9" t="s">
        <v>188</v>
      </c>
      <c r="I9">
        <v>0.06</v>
      </c>
      <c r="K9">
        <v>125.5</v>
      </c>
      <c r="O9" s="386" t="s">
        <v>445</v>
      </c>
      <c r="P9" s="378">
        <v>124</v>
      </c>
      <c r="Q9" s="411" t="s">
        <v>430</v>
      </c>
      <c r="R9" s="378">
        <v>63</v>
      </c>
      <c r="S9" s="379" t="s">
        <v>378</v>
      </c>
      <c r="T9" s="369"/>
      <c r="U9" s="390"/>
      <c r="V9" s="393"/>
      <c r="W9" s="360"/>
      <c r="X9" s="357"/>
      <c r="Y9" s="357"/>
      <c r="Z9" s="357"/>
      <c r="AA9" s="357"/>
      <c r="AB9" s="357"/>
      <c r="AC9" s="357"/>
    </row>
    <row r="10" spans="2:29" ht="12.75">
      <c r="B10" t="s">
        <v>472</v>
      </c>
      <c r="C10" t="s">
        <v>450</v>
      </c>
      <c r="D10" s="299">
        <v>38477</v>
      </c>
      <c r="E10" t="s">
        <v>245</v>
      </c>
      <c r="F10">
        <v>0.059</v>
      </c>
      <c r="G10" t="s">
        <v>188</v>
      </c>
      <c r="I10">
        <v>0.059</v>
      </c>
      <c r="K10">
        <v>125.5</v>
      </c>
      <c r="O10" s="386" t="s">
        <v>446</v>
      </c>
      <c r="P10" s="378">
        <v>125</v>
      </c>
      <c r="Q10" s="411" t="s">
        <v>431</v>
      </c>
      <c r="R10" s="378">
        <v>64</v>
      </c>
      <c r="S10" s="379" t="s">
        <v>379</v>
      </c>
      <c r="T10" s="369"/>
      <c r="U10" s="390"/>
      <c r="V10" s="393"/>
      <c r="W10" s="360"/>
      <c r="X10" s="357"/>
      <c r="Y10" s="357"/>
      <c r="Z10" s="357"/>
      <c r="AA10" s="357"/>
      <c r="AB10" s="357"/>
      <c r="AC10" s="357"/>
    </row>
    <row r="11" spans="2:29" ht="12.75">
      <c r="B11" t="s">
        <v>472</v>
      </c>
      <c r="C11" t="s">
        <v>450</v>
      </c>
      <c r="D11" s="299">
        <v>38638</v>
      </c>
      <c r="E11" t="s">
        <v>245</v>
      </c>
      <c r="F11">
        <v>0.06</v>
      </c>
      <c r="G11" t="s">
        <v>188</v>
      </c>
      <c r="I11">
        <v>0.06</v>
      </c>
      <c r="K11">
        <v>125.5</v>
      </c>
      <c r="O11" s="386" t="s">
        <v>447</v>
      </c>
      <c r="P11" s="380"/>
      <c r="Q11" s="411"/>
      <c r="R11" s="378">
        <v>73</v>
      </c>
      <c r="S11" s="379" t="s">
        <v>388</v>
      </c>
      <c r="T11" s="369"/>
      <c r="U11" s="390"/>
      <c r="V11" s="393"/>
      <c r="W11" s="360"/>
      <c r="X11" s="357"/>
      <c r="Y11" s="357"/>
      <c r="Z11" s="357"/>
      <c r="AA11" s="357"/>
      <c r="AB11" s="357"/>
      <c r="AC11" s="357"/>
    </row>
    <row r="12" spans="2:29" ht="12.75">
      <c r="B12" t="s">
        <v>471</v>
      </c>
      <c r="C12" t="s">
        <v>451</v>
      </c>
      <c r="D12" s="299">
        <v>36802</v>
      </c>
      <c r="E12" t="s">
        <v>245</v>
      </c>
      <c r="F12">
        <v>0.3</v>
      </c>
      <c r="G12" t="s">
        <v>188</v>
      </c>
      <c r="I12">
        <v>0.3</v>
      </c>
      <c r="K12">
        <v>1002</v>
      </c>
      <c r="O12" s="386" t="s">
        <v>448</v>
      </c>
      <c r="P12" s="380"/>
      <c r="Q12" s="411"/>
      <c r="R12" s="378">
        <v>74</v>
      </c>
      <c r="S12" s="379" t="s">
        <v>389</v>
      </c>
      <c r="T12" s="369"/>
      <c r="U12" s="390"/>
      <c r="V12" s="393"/>
      <c r="W12" s="360"/>
      <c r="X12" s="357"/>
      <c r="Y12" s="357"/>
      <c r="Z12" s="357"/>
      <c r="AA12" s="357"/>
      <c r="AB12" s="357"/>
      <c r="AC12" s="357"/>
    </row>
    <row r="13" spans="2:29" ht="12.75">
      <c r="B13" t="s">
        <v>471</v>
      </c>
      <c r="C13" t="s">
        <v>451</v>
      </c>
      <c r="D13" s="299">
        <v>37386</v>
      </c>
      <c r="E13" t="s">
        <v>245</v>
      </c>
      <c r="F13">
        <v>0.16</v>
      </c>
      <c r="G13" t="s">
        <v>188</v>
      </c>
      <c r="I13">
        <v>0.16</v>
      </c>
      <c r="K13">
        <v>1002</v>
      </c>
      <c r="O13" s="386" t="s">
        <v>449</v>
      </c>
      <c r="P13" s="380"/>
      <c r="Q13" s="411"/>
      <c r="R13" s="378">
        <v>87</v>
      </c>
      <c r="S13" s="379" t="s">
        <v>402</v>
      </c>
      <c r="T13" s="369"/>
      <c r="U13" s="390"/>
      <c r="V13" s="393"/>
      <c r="W13" s="360"/>
      <c r="X13" s="357"/>
      <c r="Y13" s="357"/>
      <c r="Z13" s="357"/>
      <c r="AA13" s="357"/>
      <c r="AB13" s="357"/>
      <c r="AC13" s="357"/>
    </row>
    <row r="14" spans="2:24" ht="12.75">
      <c r="B14" t="s">
        <v>471</v>
      </c>
      <c r="C14" t="s">
        <v>451</v>
      </c>
      <c r="D14" s="299">
        <v>37537</v>
      </c>
      <c r="E14" t="s">
        <v>245</v>
      </c>
      <c r="F14">
        <v>0.16</v>
      </c>
      <c r="G14" t="s">
        <v>188</v>
      </c>
      <c r="I14">
        <v>0.16</v>
      </c>
      <c r="K14">
        <v>1002</v>
      </c>
      <c r="O14" s="386" t="s">
        <v>452</v>
      </c>
      <c r="P14" s="380"/>
      <c r="Q14" s="411"/>
      <c r="R14" s="378">
        <v>92</v>
      </c>
      <c r="S14" s="379" t="s">
        <v>407</v>
      </c>
      <c r="T14" s="369"/>
      <c r="U14" s="390"/>
      <c r="V14" s="393"/>
      <c r="W14" s="360"/>
      <c r="X14" s="357"/>
    </row>
    <row r="15" spans="2:24" ht="12.75">
      <c r="B15" t="s">
        <v>471</v>
      </c>
      <c r="C15" t="s">
        <v>451</v>
      </c>
      <c r="D15" s="299">
        <v>37743</v>
      </c>
      <c r="E15" t="s">
        <v>245</v>
      </c>
      <c r="F15">
        <v>0.16</v>
      </c>
      <c r="G15" t="s">
        <v>188</v>
      </c>
      <c r="I15">
        <v>0.16</v>
      </c>
      <c r="K15">
        <v>1002</v>
      </c>
      <c r="O15" s="386" t="s">
        <v>453</v>
      </c>
      <c r="P15" s="380"/>
      <c r="Q15" s="411"/>
      <c r="R15" s="378">
        <v>99</v>
      </c>
      <c r="S15" s="379" t="s">
        <v>125</v>
      </c>
      <c r="T15" s="369"/>
      <c r="U15" s="390"/>
      <c r="V15" s="393"/>
      <c r="W15" s="360"/>
      <c r="X15" s="357"/>
    </row>
    <row r="16" spans="2:24" ht="12.75">
      <c r="B16" t="s">
        <v>471</v>
      </c>
      <c r="C16" t="s">
        <v>451</v>
      </c>
      <c r="D16" s="299">
        <v>37897</v>
      </c>
      <c r="E16" t="s">
        <v>245</v>
      </c>
      <c r="F16">
        <v>0.16</v>
      </c>
      <c r="G16" t="s">
        <v>188</v>
      </c>
      <c r="I16">
        <v>0.16</v>
      </c>
      <c r="K16">
        <v>1002</v>
      </c>
      <c r="O16" s="386" t="s">
        <v>454</v>
      </c>
      <c r="P16" s="380"/>
      <c r="Q16" s="411"/>
      <c r="R16" s="378">
        <v>100</v>
      </c>
      <c r="S16" s="379" t="s">
        <v>126</v>
      </c>
      <c r="T16" s="369"/>
      <c r="U16" s="390"/>
      <c r="V16" s="393"/>
      <c r="W16" s="360"/>
      <c r="X16" s="357"/>
    </row>
    <row r="17" spans="2:24" ht="12.75">
      <c r="B17" t="s">
        <v>471</v>
      </c>
      <c r="C17" t="s">
        <v>451</v>
      </c>
      <c r="D17" s="299">
        <v>38113</v>
      </c>
      <c r="E17" t="s">
        <v>245</v>
      </c>
      <c r="F17">
        <v>0.16</v>
      </c>
      <c r="G17" t="s">
        <v>188</v>
      </c>
      <c r="I17">
        <v>0.16</v>
      </c>
      <c r="K17">
        <v>1002</v>
      </c>
      <c r="O17" s="386" t="s">
        <v>455</v>
      </c>
      <c r="P17" s="380"/>
      <c r="Q17" s="411"/>
      <c r="R17" s="380"/>
      <c r="S17" s="381"/>
      <c r="T17" s="370"/>
      <c r="U17" s="390"/>
      <c r="V17" s="394"/>
      <c r="W17" s="360"/>
      <c r="X17" s="357"/>
    </row>
    <row r="18" spans="2:24" ht="13.5" thickBot="1">
      <c r="B18" t="s">
        <v>471</v>
      </c>
      <c r="C18" t="s">
        <v>451</v>
      </c>
      <c r="D18" s="299">
        <v>38273</v>
      </c>
      <c r="E18" t="s">
        <v>245</v>
      </c>
      <c r="F18">
        <v>0.04</v>
      </c>
      <c r="G18" t="s">
        <v>188</v>
      </c>
      <c r="I18">
        <v>0.04</v>
      </c>
      <c r="K18">
        <v>1002</v>
      </c>
      <c r="O18" s="387" t="s">
        <v>457</v>
      </c>
      <c r="P18" s="388"/>
      <c r="Q18" s="412"/>
      <c r="R18" s="382"/>
      <c r="S18" s="383"/>
      <c r="T18" s="371"/>
      <c r="U18" s="391"/>
      <c r="V18" s="395"/>
      <c r="W18" s="361"/>
      <c r="X18" s="357"/>
    </row>
    <row r="19" spans="2:11" ht="13.5" thickTop="1">
      <c r="B19" t="s">
        <v>471</v>
      </c>
      <c r="C19" t="s">
        <v>451</v>
      </c>
      <c r="D19" s="299">
        <v>38477</v>
      </c>
      <c r="E19" t="s">
        <v>245</v>
      </c>
      <c r="F19">
        <v>0.039</v>
      </c>
      <c r="G19" t="s">
        <v>188</v>
      </c>
      <c r="I19">
        <v>0.039</v>
      </c>
      <c r="K19">
        <v>1002</v>
      </c>
    </row>
    <row r="20" spans="2:11" ht="12.75">
      <c r="B20" t="s">
        <v>471</v>
      </c>
      <c r="C20" t="s">
        <v>451</v>
      </c>
      <c r="D20" s="299">
        <v>38638</v>
      </c>
      <c r="E20" t="s">
        <v>245</v>
      </c>
      <c r="F20">
        <v>0.04</v>
      </c>
      <c r="G20" t="s">
        <v>188</v>
      </c>
      <c r="I20">
        <v>0.04</v>
      </c>
      <c r="K20">
        <v>1002</v>
      </c>
    </row>
  </sheetData>
  <mergeCells count="1">
    <mergeCell ref="O1:Q1"/>
  </mergeCells>
  <printOptions/>
  <pageMargins left="0.75" right="0.75" top="1" bottom="1" header="0.5" footer="0.5"/>
  <pageSetup fitToHeight="5" fitToWidth="1" horizontalDpi="300" verticalDpi="300" orientation="landscape" scale="66" r:id="rId3"/>
  <headerFooter alignWithMargins="0">
    <oddHeader>&amp;C&amp;14Calculating Summation of Pollutant Concentrations&amp;R&amp;12Rodeo Sanitary District
Tentative Order</oddHeader>
    <oddFooter>&amp;L&amp;F &amp;.xls&amp; (&amp;A&amp; )&amp;CPage &amp;P of &amp;N&amp;R&amp;D</oddFooter>
  </headerFooter>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Q100"/>
  <sheetViews>
    <sheetView zoomScale="87" zoomScaleNormal="87" workbookViewId="0" topLeftCell="C1">
      <pane ySplit="1" topLeftCell="BM40" activePane="bottomLeft" state="frozen"/>
      <selection pane="topLeft" activeCell="A1" sqref="A1"/>
      <selection pane="bottomLeft" activeCell="J40" sqref="J40"/>
    </sheetView>
  </sheetViews>
  <sheetFormatPr defaultColWidth="9.140625" defaultRowHeight="12.75"/>
  <cols>
    <col min="4" max="4" width="15.140625" style="0" customWidth="1"/>
    <col min="7" max="7" width="9.421875" style="0" customWidth="1"/>
    <col min="8" max="8" width="10.140625" style="0" customWidth="1"/>
    <col min="9" max="9" width="8.00390625" style="0" customWidth="1"/>
    <col min="10" max="10" width="10.00390625" style="0" customWidth="1"/>
    <col min="11" max="11" width="9.8515625" style="0" customWidth="1"/>
    <col min="13" max="13" width="9.00390625" style="0" customWidth="1"/>
    <col min="14" max="14" width="12.57421875" style="0" customWidth="1"/>
    <col min="15" max="15" width="7.28125" style="0" customWidth="1"/>
  </cols>
  <sheetData>
    <row r="1" spans="1:17" ht="38.25">
      <c r="A1" s="550" t="s">
        <v>278</v>
      </c>
      <c r="B1" s="550" t="s">
        <v>517</v>
      </c>
      <c r="C1" s="550" t="s">
        <v>270</v>
      </c>
      <c r="D1" s="550" t="s">
        <v>234</v>
      </c>
      <c r="E1" s="550" t="s">
        <v>271</v>
      </c>
      <c r="F1" s="550" t="s">
        <v>268</v>
      </c>
      <c r="G1" s="550" t="s">
        <v>263</v>
      </c>
      <c r="H1" s="550" t="s">
        <v>264</v>
      </c>
      <c r="I1" s="550" t="s">
        <v>272</v>
      </c>
      <c r="J1" s="551" t="s">
        <v>518</v>
      </c>
      <c r="K1" s="551" t="s">
        <v>273</v>
      </c>
      <c r="L1" s="551" t="s">
        <v>274</v>
      </c>
      <c r="M1" s="551" t="s">
        <v>275</v>
      </c>
      <c r="N1" s="552" t="s">
        <v>276</v>
      </c>
      <c r="O1" s="551" t="s">
        <v>277</v>
      </c>
      <c r="P1" s="551" t="s">
        <v>519</v>
      </c>
      <c r="Q1" s="551" t="s">
        <v>267</v>
      </c>
    </row>
    <row r="2" spans="1:17" ht="12.75">
      <c r="A2" s="473">
        <v>8</v>
      </c>
      <c r="B2" s="474" t="s">
        <v>323</v>
      </c>
      <c r="C2" s="474" t="s">
        <v>329</v>
      </c>
      <c r="D2" s="475">
        <v>37263</v>
      </c>
      <c r="E2" s="474" t="s">
        <v>322</v>
      </c>
      <c r="F2" s="474">
        <v>0.0049</v>
      </c>
      <c r="G2" s="474" t="s">
        <v>322</v>
      </c>
      <c r="H2" s="474" t="s">
        <v>322</v>
      </c>
      <c r="I2" s="474" t="s">
        <v>321</v>
      </c>
      <c r="J2" s="474">
        <f aca="true" t="shared" si="0" ref="J2:J33">IF(E2="ND",F2*0.5,F2)</f>
        <v>0.0049</v>
      </c>
      <c r="K2" s="474">
        <f>COUNT(A2:A29)</f>
        <v>28</v>
      </c>
      <c r="L2" s="474">
        <f>COUNTIF(E2:E29,"=ND")</f>
        <v>3</v>
      </c>
      <c r="M2" s="476">
        <f>L2/K2*100</f>
        <v>10.714285714285714</v>
      </c>
      <c r="N2" s="474" t="str">
        <f>IF(OR(K2&lt;10,M2&gt;=80),"Y","N")</f>
        <v>N</v>
      </c>
      <c r="O2" s="623">
        <f>AVERAGE(J2:J29)</f>
        <v>0.004823928571428571</v>
      </c>
      <c r="P2" s="623">
        <f>STDEV(J2:J29)</f>
        <v>0.002808181617116136</v>
      </c>
      <c r="Q2" s="477">
        <f>P2/O2</f>
        <v>0.5821358205319598</v>
      </c>
    </row>
    <row r="3" spans="1:17" ht="12.75">
      <c r="A3" s="478">
        <v>8</v>
      </c>
      <c r="B3" s="479" t="s">
        <v>323</v>
      </c>
      <c r="C3" s="479" t="s">
        <v>329</v>
      </c>
      <c r="D3" s="480">
        <v>37292</v>
      </c>
      <c r="E3" s="479" t="s">
        <v>322</v>
      </c>
      <c r="F3" s="479">
        <v>0.0028</v>
      </c>
      <c r="G3" s="479" t="s">
        <v>322</v>
      </c>
      <c r="H3" s="479" t="s">
        <v>322</v>
      </c>
      <c r="I3" s="479" t="s">
        <v>321</v>
      </c>
      <c r="J3" s="479">
        <f t="shared" si="0"/>
        <v>0.0028</v>
      </c>
      <c r="K3" s="479"/>
      <c r="L3" s="479"/>
      <c r="M3" s="479"/>
      <c r="N3" s="479"/>
      <c r="O3" s="479"/>
      <c r="P3" s="479"/>
      <c r="Q3" s="471"/>
    </row>
    <row r="4" spans="1:17" ht="12.75">
      <c r="A4" s="478">
        <v>8</v>
      </c>
      <c r="B4" s="479" t="s">
        <v>323</v>
      </c>
      <c r="C4" s="479" t="s">
        <v>329</v>
      </c>
      <c r="D4" s="480">
        <v>37336</v>
      </c>
      <c r="E4" s="479" t="s">
        <v>245</v>
      </c>
      <c r="F4" s="479">
        <v>0.0046</v>
      </c>
      <c r="G4" s="479" t="s">
        <v>322</v>
      </c>
      <c r="H4" s="479" t="s">
        <v>322</v>
      </c>
      <c r="I4" s="479" t="s">
        <v>321</v>
      </c>
      <c r="J4" s="479">
        <f t="shared" si="0"/>
        <v>0.0023</v>
      </c>
      <c r="K4" s="479"/>
      <c r="L4" s="479"/>
      <c r="M4" s="479"/>
      <c r="N4" s="479"/>
      <c r="O4" s="479"/>
      <c r="P4" s="479"/>
      <c r="Q4" s="471"/>
    </row>
    <row r="5" spans="1:17" ht="12.75">
      <c r="A5" s="478">
        <v>8</v>
      </c>
      <c r="B5" s="479" t="s">
        <v>323</v>
      </c>
      <c r="C5" s="479" t="s">
        <v>329</v>
      </c>
      <c r="D5" s="480">
        <v>37355</v>
      </c>
      <c r="E5" s="479" t="s">
        <v>322</v>
      </c>
      <c r="F5" s="479">
        <v>0.0032</v>
      </c>
      <c r="G5" s="479" t="s">
        <v>322</v>
      </c>
      <c r="H5" s="479" t="s">
        <v>322</v>
      </c>
      <c r="I5" s="479" t="s">
        <v>321</v>
      </c>
      <c r="J5" s="479">
        <f t="shared" si="0"/>
        <v>0.0032</v>
      </c>
      <c r="K5" s="479"/>
      <c r="L5" s="479"/>
      <c r="M5" s="479"/>
      <c r="N5" s="479"/>
      <c r="O5" s="479"/>
      <c r="P5" s="479"/>
      <c r="Q5" s="471"/>
    </row>
    <row r="6" spans="1:17" ht="12.75">
      <c r="A6" s="478">
        <v>8</v>
      </c>
      <c r="B6" s="479" t="s">
        <v>323</v>
      </c>
      <c r="C6" s="479" t="s">
        <v>329</v>
      </c>
      <c r="D6" s="480">
        <v>37476</v>
      </c>
      <c r="E6" s="479" t="s">
        <v>322</v>
      </c>
      <c r="F6" s="479">
        <v>0.0043</v>
      </c>
      <c r="G6" s="479">
        <v>0.0005</v>
      </c>
      <c r="H6" s="479">
        <v>0.00024</v>
      </c>
      <c r="I6" s="479" t="s">
        <v>321</v>
      </c>
      <c r="J6" s="479">
        <f t="shared" si="0"/>
        <v>0.0043</v>
      </c>
      <c r="K6" s="479"/>
      <c r="L6" s="479"/>
      <c r="M6" s="479"/>
      <c r="N6" s="479"/>
      <c r="O6" s="479"/>
      <c r="P6" s="479"/>
      <c r="Q6" s="471"/>
    </row>
    <row r="7" spans="1:17" ht="12.75">
      <c r="A7" s="478">
        <v>8</v>
      </c>
      <c r="B7" s="479" t="s">
        <v>323</v>
      </c>
      <c r="C7" s="479" t="s">
        <v>329</v>
      </c>
      <c r="D7" s="480">
        <v>37518</v>
      </c>
      <c r="E7" s="479" t="s">
        <v>322</v>
      </c>
      <c r="F7" s="479">
        <v>0.0043</v>
      </c>
      <c r="G7" s="479" t="s">
        <v>322</v>
      </c>
      <c r="H7" s="479" t="s">
        <v>322</v>
      </c>
      <c r="I7" s="479" t="s">
        <v>321</v>
      </c>
      <c r="J7" s="479">
        <f t="shared" si="0"/>
        <v>0.0043</v>
      </c>
      <c r="K7" s="479"/>
      <c r="L7" s="479"/>
      <c r="M7" s="479"/>
      <c r="N7" s="479"/>
      <c r="O7" s="479"/>
      <c r="P7" s="479"/>
      <c r="Q7" s="471"/>
    </row>
    <row r="8" spans="1:17" ht="12.75">
      <c r="A8" s="478">
        <v>8</v>
      </c>
      <c r="B8" s="479" t="s">
        <v>323</v>
      </c>
      <c r="C8" s="479" t="s">
        <v>329</v>
      </c>
      <c r="D8" s="480">
        <v>37533</v>
      </c>
      <c r="E8" s="479" t="s">
        <v>322</v>
      </c>
      <c r="F8" s="479">
        <v>0.0044</v>
      </c>
      <c r="G8" s="479" t="s">
        <v>322</v>
      </c>
      <c r="H8" s="479" t="s">
        <v>322</v>
      </c>
      <c r="I8" s="479" t="s">
        <v>321</v>
      </c>
      <c r="J8" s="479">
        <f t="shared" si="0"/>
        <v>0.0044</v>
      </c>
      <c r="K8" s="479"/>
      <c r="L8" s="479"/>
      <c r="M8" s="479"/>
      <c r="N8" s="479"/>
      <c r="O8" s="479"/>
      <c r="P8" s="479"/>
      <c r="Q8" s="471"/>
    </row>
    <row r="9" spans="1:17" ht="12.75">
      <c r="A9" s="478">
        <v>8</v>
      </c>
      <c r="B9" s="479" t="s">
        <v>323</v>
      </c>
      <c r="C9" s="479" t="s">
        <v>329</v>
      </c>
      <c r="D9" s="480">
        <v>37567</v>
      </c>
      <c r="E9" s="479" t="s">
        <v>322</v>
      </c>
      <c r="F9" s="479">
        <v>0.0062</v>
      </c>
      <c r="G9" s="479" t="s">
        <v>322</v>
      </c>
      <c r="H9" s="479" t="s">
        <v>322</v>
      </c>
      <c r="I9" s="479" t="s">
        <v>321</v>
      </c>
      <c r="J9" s="479">
        <f t="shared" si="0"/>
        <v>0.0062</v>
      </c>
      <c r="K9" s="479"/>
      <c r="L9" s="479"/>
      <c r="M9" s="479"/>
      <c r="N9" s="479"/>
      <c r="O9" s="479"/>
      <c r="P9" s="479"/>
      <c r="Q9" s="471"/>
    </row>
    <row r="10" spans="1:17" ht="12.75">
      <c r="A10" s="478">
        <v>8</v>
      </c>
      <c r="B10" s="479" t="s">
        <v>323</v>
      </c>
      <c r="C10" s="479" t="s">
        <v>329</v>
      </c>
      <c r="D10" s="480">
        <v>37663</v>
      </c>
      <c r="E10" s="479" t="s">
        <v>322</v>
      </c>
      <c r="F10" s="479">
        <v>0.0046</v>
      </c>
      <c r="G10" s="479" t="s">
        <v>322</v>
      </c>
      <c r="H10" s="479" t="s">
        <v>322</v>
      </c>
      <c r="I10" s="479" t="s">
        <v>321</v>
      </c>
      <c r="J10" s="479">
        <f t="shared" si="0"/>
        <v>0.0046</v>
      </c>
      <c r="K10" s="479"/>
      <c r="L10" s="479"/>
      <c r="M10" s="479"/>
      <c r="N10" s="479"/>
      <c r="O10" s="479"/>
      <c r="P10" s="479"/>
      <c r="Q10" s="471"/>
    </row>
    <row r="11" spans="1:17" ht="12.75">
      <c r="A11" s="478">
        <v>8</v>
      </c>
      <c r="B11" s="479" t="s">
        <v>323</v>
      </c>
      <c r="C11" s="479" t="s">
        <v>329</v>
      </c>
      <c r="D11" s="480">
        <v>37701</v>
      </c>
      <c r="E11" s="479" t="s">
        <v>322</v>
      </c>
      <c r="F11" s="479">
        <v>0.0035</v>
      </c>
      <c r="G11" s="479">
        <v>0.0005</v>
      </c>
      <c r="H11" s="479">
        <v>0.00024</v>
      </c>
      <c r="I11" s="479" t="s">
        <v>321</v>
      </c>
      <c r="J11" s="479">
        <f t="shared" si="0"/>
        <v>0.0035</v>
      </c>
      <c r="K11" s="479"/>
      <c r="L11" s="479"/>
      <c r="M11" s="479"/>
      <c r="N11" s="479"/>
      <c r="O11" s="479"/>
      <c r="P11" s="479"/>
      <c r="Q11" s="471"/>
    </row>
    <row r="12" spans="1:17" ht="12.75">
      <c r="A12" s="478">
        <v>8</v>
      </c>
      <c r="B12" s="479" t="s">
        <v>323</v>
      </c>
      <c r="C12" s="479" t="s">
        <v>329</v>
      </c>
      <c r="D12" s="480">
        <v>37777</v>
      </c>
      <c r="E12" s="479" t="s">
        <v>245</v>
      </c>
      <c r="F12" s="479">
        <v>0.0005</v>
      </c>
      <c r="G12" s="479">
        <v>0.0005</v>
      </c>
      <c r="H12" s="479">
        <v>0.00024</v>
      </c>
      <c r="I12" s="479" t="s">
        <v>321</v>
      </c>
      <c r="J12" s="479">
        <f t="shared" si="0"/>
        <v>0.00025</v>
      </c>
      <c r="K12" s="479"/>
      <c r="L12" s="479"/>
      <c r="M12" s="479"/>
      <c r="N12" s="479"/>
      <c r="O12" s="479"/>
      <c r="P12" s="479"/>
      <c r="Q12" s="471"/>
    </row>
    <row r="13" spans="1:17" ht="12.75">
      <c r="A13" s="478">
        <v>8</v>
      </c>
      <c r="B13" s="479" t="s">
        <v>323</v>
      </c>
      <c r="C13" s="479" t="s">
        <v>329</v>
      </c>
      <c r="D13" s="480">
        <v>37838</v>
      </c>
      <c r="E13" s="479" t="s">
        <v>322</v>
      </c>
      <c r="F13" s="479">
        <v>0.0058</v>
      </c>
      <c r="G13" s="479" t="s">
        <v>322</v>
      </c>
      <c r="H13" s="479" t="s">
        <v>322</v>
      </c>
      <c r="I13" s="479" t="s">
        <v>321</v>
      </c>
      <c r="J13" s="479">
        <f t="shared" si="0"/>
        <v>0.0058</v>
      </c>
      <c r="K13" s="479"/>
      <c r="L13" s="479"/>
      <c r="M13" s="479"/>
      <c r="N13" s="479"/>
      <c r="O13" s="479"/>
      <c r="P13" s="479"/>
      <c r="Q13" s="471"/>
    </row>
    <row r="14" spans="1:17" ht="12.75">
      <c r="A14" s="478">
        <v>8</v>
      </c>
      <c r="B14" s="479" t="s">
        <v>323</v>
      </c>
      <c r="C14" s="479" t="s">
        <v>329</v>
      </c>
      <c r="D14" s="480">
        <v>37868</v>
      </c>
      <c r="E14" s="479" t="s">
        <v>322</v>
      </c>
      <c r="F14" s="479">
        <v>0.0059</v>
      </c>
      <c r="G14" s="479" t="s">
        <v>322</v>
      </c>
      <c r="H14" s="479" t="s">
        <v>322</v>
      </c>
      <c r="I14" s="479" t="s">
        <v>321</v>
      </c>
      <c r="J14" s="479">
        <f t="shared" si="0"/>
        <v>0.0059</v>
      </c>
      <c r="K14" s="479"/>
      <c r="L14" s="479"/>
      <c r="M14" s="479"/>
      <c r="N14" s="479"/>
      <c r="O14" s="479"/>
      <c r="P14" s="479"/>
      <c r="Q14" s="471"/>
    </row>
    <row r="15" spans="1:17" ht="12.75">
      <c r="A15" s="478">
        <v>8</v>
      </c>
      <c r="B15" s="479" t="s">
        <v>323</v>
      </c>
      <c r="C15" s="479" t="s">
        <v>329</v>
      </c>
      <c r="D15" s="480">
        <v>38203</v>
      </c>
      <c r="E15" s="479"/>
      <c r="F15" s="479">
        <v>0.0034</v>
      </c>
      <c r="G15" s="479">
        <v>0.0005</v>
      </c>
      <c r="H15" s="479">
        <v>0.00024</v>
      </c>
      <c r="I15" s="479" t="s">
        <v>321</v>
      </c>
      <c r="J15" s="479">
        <f t="shared" si="0"/>
        <v>0.0034</v>
      </c>
      <c r="K15" s="479"/>
      <c r="L15" s="479"/>
      <c r="M15" s="479"/>
      <c r="N15" s="479"/>
      <c r="O15" s="479"/>
      <c r="P15" s="479"/>
      <c r="Q15" s="471"/>
    </row>
    <row r="16" spans="1:17" ht="12.75">
      <c r="A16" s="478">
        <v>8</v>
      </c>
      <c r="B16" s="479" t="s">
        <v>323</v>
      </c>
      <c r="C16" s="479" t="s">
        <v>329</v>
      </c>
      <c r="D16" s="480">
        <v>38231</v>
      </c>
      <c r="E16" s="479"/>
      <c r="F16" s="479">
        <v>0.012</v>
      </c>
      <c r="G16" s="479">
        <v>0.0005</v>
      </c>
      <c r="H16" s="479">
        <v>0.00024</v>
      </c>
      <c r="I16" s="479" t="s">
        <v>321</v>
      </c>
      <c r="J16" s="479">
        <f t="shared" si="0"/>
        <v>0.012</v>
      </c>
      <c r="K16" s="479"/>
      <c r="L16" s="479"/>
      <c r="M16" s="479"/>
      <c r="N16" s="479"/>
      <c r="O16" s="479"/>
      <c r="P16" s="479"/>
      <c r="Q16" s="471"/>
    </row>
    <row r="17" spans="1:17" ht="12.75">
      <c r="A17" s="478">
        <v>8</v>
      </c>
      <c r="B17" s="479" t="s">
        <v>323</v>
      </c>
      <c r="C17" s="479" t="s">
        <v>329</v>
      </c>
      <c r="D17" s="480">
        <v>38273</v>
      </c>
      <c r="E17" s="479"/>
      <c r="F17" s="479">
        <v>0.0044</v>
      </c>
      <c r="G17" s="479">
        <v>0.0005</v>
      </c>
      <c r="H17" s="479">
        <v>0.00024</v>
      </c>
      <c r="I17" s="479" t="s">
        <v>321</v>
      </c>
      <c r="J17" s="479">
        <f t="shared" si="0"/>
        <v>0.0044</v>
      </c>
      <c r="K17" s="479"/>
      <c r="L17" s="479"/>
      <c r="M17" s="479"/>
      <c r="N17" s="479"/>
      <c r="O17" s="479"/>
      <c r="P17" s="479"/>
      <c r="Q17" s="471"/>
    </row>
    <row r="18" spans="1:17" ht="12.75">
      <c r="A18" s="478">
        <v>8</v>
      </c>
      <c r="B18" s="479" t="s">
        <v>323</v>
      </c>
      <c r="C18" s="479" t="s">
        <v>329</v>
      </c>
      <c r="D18" s="480">
        <v>38294</v>
      </c>
      <c r="E18" s="479"/>
      <c r="F18" s="479">
        <v>0.007</v>
      </c>
      <c r="G18" s="479">
        <v>0.0005</v>
      </c>
      <c r="H18" s="479">
        <v>0.00024</v>
      </c>
      <c r="I18" s="479" t="s">
        <v>321</v>
      </c>
      <c r="J18" s="479">
        <f t="shared" si="0"/>
        <v>0.007</v>
      </c>
      <c r="K18" s="479"/>
      <c r="L18" s="479"/>
      <c r="M18" s="479"/>
      <c r="N18" s="479"/>
      <c r="O18" s="479"/>
      <c r="P18" s="479"/>
      <c r="Q18" s="471"/>
    </row>
    <row r="19" spans="1:17" ht="12.75">
      <c r="A19" s="478">
        <v>8</v>
      </c>
      <c r="B19" s="479" t="s">
        <v>323</v>
      </c>
      <c r="C19" s="479" t="s">
        <v>329</v>
      </c>
      <c r="D19" s="480">
        <v>38322</v>
      </c>
      <c r="E19" s="479"/>
      <c r="F19" s="479">
        <v>0.0057</v>
      </c>
      <c r="G19" s="479">
        <v>0.0005</v>
      </c>
      <c r="H19" s="479">
        <v>0.00024</v>
      </c>
      <c r="I19" s="479" t="s">
        <v>321</v>
      </c>
      <c r="J19" s="479">
        <f t="shared" si="0"/>
        <v>0.0057</v>
      </c>
      <c r="K19" s="479"/>
      <c r="L19" s="479"/>
      <c r="M19" s="479"/>
      <c r="N19" s="479"/>
      <c r="O19" s="479"/>
      <c r="P19" s="479"/>
      <c r="Q19" s="471"/>
    </row>
    <row r="20" spans="1:17" ht="12.75">
      <c r="A20" s="478">
        <v>8</v>
      </c>
      <c r="B20" s="479" t="s">
        <v>323</v>
      </c>
      <c r="C20" s="479" t="s">
        <v>329</v>
      </c>
      <c r="D20" s="480">
        <v>38391</v>
      </c>
      <c r="E20" s="479"/>
      <c r="F20" s="479">
        <v>0.0043</v>
      </c>
      <c r="G20" s="479">
        <v>0.0005</v>
      </c>
      <c r="H20" s="479">
        <v>0.00024</v>
      </c>
      <c r="I20" s="479" t="s">
        <v>321</v>
      </c>
      <c r="J20" s="479">
        <f t="shared" si="0"/>
        <v>0.0043</v>
      </c>
      <c r="K20" s="479"/>
      <c r="L20" s="479"/>
      <c r="M20" s="479"/>
      <c r="N20" s="479"/>
      <c r="O20" s="479"/>
      <c r="P20" s="479"/>
      <c r="Q20" s="471"/>
    </row>
    <row r="21" spans="1:17" ht="12.75">
      <c r="A21" s="478">
        <v>8</v>
      </c>
      <c r="B21" s="479" t="s">
        <v>323</v>
      </c>
      <c r="C21" s="479" t="s">
        <v>329</v>
      </c>
      <c r="D21" s="480">
        <v>38413</v>
      </c>
      <c r="E21" s="479" t="s">
        <v>245</v>
      </c>
      <c r="F21" s="479">
        <v>0.00024</v>
      </c>
      <c r="G21" s="479">
        <v>0.0005</v>
      </c>
      <c r="H21" s="479">
        <v>0.00024</v>
      </c>
      <c r="I21" s="479" t="s">
        <v>321</v>
      </c>
      <c r="J21" s="479">
        <f t="shared" si="0"/>
        <v>0.00012</v>
      </c>
      <c r="K21" s="479"/>
      <c r="L21" s="479"/>
      <c r="M21" s="479"/>
      <c r="N21" s="479"/>
      <c r="O21" s="479"/>
      <c r="P21" s="479"/>
      <c r="Q21" s="471"/>
    </row>
    <row r="22" spans="1:17" ht="12.75">
      <c r="A22" s="478">
        <v>8</v>
      </c>
      <c r="B22" s="479" t="s">
        <v>323</v>
      </c>
      <c r="C22" s="479" t="s">
        <v>329</v>
      </c>
      <c r="D22" s="480">
        <v>38450</v>
      </c>
      <c r="E22" s="479"/>
      <c r="F22" s="479">
        <v>0.0058</v>
      </c>
      <c r="G22" s="479">
        <v>0.0005</v>
      </c>
      <c r="H22" s="479">
        <v>0.00024</v>
      </c>
      <c r="I22" s="479" t="s">
        <v>321</v>
      </c>
      <c r="J22" s="479">
        <f t="shared" si="0"/>
        <v>0.0058</v>
      </c>
      <c r="K22" s="479"/>
      <c r="L22" s="479"/>
      <c r="M22" s="479"/>
      <c r="N22" s="479"/>
      <c r="O22" s="479"/>
      <c r="P22" s="479"/>
      <c r="Q22" s="471"/>
    </row>
    <row r="23" spans="1:17" ht="12.75">
      <c r="A23" s="478">
        <v>8</v>
      </c>
      <c r="B23" s="479" t="s">
        <v>323</v>
      </c>
      <c r="C23" s="479" t="s">
        <v>329</v>
      </c>
      <c r="D23" s="480">
        <v>38505</v>
      </c>
      <c r="E23" s="479"/>
      <c r="F23" s="479">
        <v>0.0026</v>
      </c>
      <c r="G23" s="479">
        <v>0.0005</v>
      </c>
      <c r="H23" s="479">
        <v>0.00024</v>
      </c>
      <c r="I23" s="479" t="s">
        <v>321</v>
      </c>
      <c r="J23" s="479">
        <f t="shared" si="0"/>
        <v>0.0026</v>
      </c>
      <c r="K23" s="479"/>
      <c r="L23" s="479"/>
      <c r="M23" s="479"/>
      <c r="N23" s="479"/>
      <c r="O23" s="479"/>
      <c r="P23" s="479"/>
      <c r="Q23" s="471"/>
    </row>
    <row r="24" spans="1:17" ht="12.75">
      <c r="A24" s="478">
        <v>8</v>
      </c>
      <c r="B24" s="479" t="s">
        <v>323</v>
      </c>
      <c r="C24" s="479" t="s">
        <v>329</v>
      </c>
      <c r="D24" s="480">
        <v>38567</v>
      </c>
      <c r="E24" s="479"/>
      <c r="F24" s="479">
        <v>0.0043</v>
      </c>
      <c r="G24" s="479">
        <v>0.0005</v>
      </c>
      <c r="H24" s="479">
        <v>0.00024</v>
      </c>
      <c r="I24" s="479" t="s">
        <v>321</v>
      </c>
      <c r="J24" s="479">
        <f t="shared" si="0"/>
        <v>0.0043</v>
      </c>
      <c r="K24" s="479"/>
      <c r="L24" s="479"/>
      <c r="M24" s="479"/>
      <c r="N24" s="479"/>
      <c r="O24" s="479"/>
      <c r="P24" s="479"/>
      <c r="Q24" s="471"/>
    </row>
    <row r="25" spans="1:17" ht="12.75">
      <c r="A25" s="478">
        <v>8</v>
      </c>
      <c r="B25" s="479" t="s">
        <v>323</v>
      </c>
      <c r="C25" s="479" t="s">
        <v>329</v>
      </c>
      <c r="D25" s="480">
        <v>38637</v>
      </c>
      <c r="E25" s="479"/>
      <c r="F25" s="479">
        <v>0.0052</v>
      </c>
      <c r="G25" s="479">
        <v>0.0005</v>
      </c>
      <c r="H25" s="479">
        <v>0.00024</v>
      </c>
      <c r="I25" s="479" t="s">
        <v>321</v>
      </c>
      <c r="J25" s="479">
        <f t="shared" si="0"/>
        <v>0.0052</v>
      </c>
      <c r="K25" s="479"/>
      <c r="L25" s="479"/>
      <c r="M25" s="479"/>
      <c r="N25" s="479"/>
      <c r="O25" s="479"/>
      <c r="P25" s="479"/>
      <c r="Q25" s="471"/>
    </row>
    <row r="26" spans="1:17" ht="12.75">
      <c r="A26" s="478">
        <v>8</v>
      </c>
      <c r="B26" s="479" t="s">
        <v>323</v>
      </c>
      <c r="C26" s="479" t="s">
        <v>329</v>
      </c>
      <c r="D26" s="480">
        <v>38658</v>
      </c>
      <c r="E26" s="479"/>
      <c r="F26" s="479">
        <v>0.014</v>
      </c>
      <c r="G26" s="479">
        <v>0.0005</v>
      </c>
      <c r="H26" s="479">
        <v>0.00024</v>
      </c>
      <c r="I26" s="479" t="s">
        <v>321</v>
      </c>
      <c r="J26" s="479">
        <f t="shared" si="0"/>
        <v>0.014</v>
      </c>
      <c r="K26" s="479"/>
      <c r="L26" s="479"/>
      <c r="M26" s="479"/>
      <c r="N26" s="479"/>
      <c r="O26" s="479"/>
      <c r="P26" s="479"/>
      <c r="Q26" s="471"/>
    </row>
    <row r="27" spans="1:17" ht="12.75">
      <c r="A27" s="478">
        <v>8</v>
      </c>
      <c r="B27" s="479" t="s">
        <v>323</v>
      </c>
      <c r="C27" s="479" t="s">
        <v>329</v>
      </c>
      <c r="D27" s="480">
        <v>38693</v>
      </c>
      <c r="E27" s="479"/>
      <c r="F27" s="479">
        <v>0.0048</v>
      </c>
      <c r="G27" s="479">
        <v>0.0005</v>
      </c>
      <c r="H27" s="479">
        <v>0.00024</v>
      </c>
      <c r="I27" s="479" t="s">
        <v>321</v>
      </c>
      <c r="J27" s="479">
        <f t="shared" si="0"/>
        <v>0.0048</v>
      </c>
      <c r="K27" s="479"/>
      <c r="L27" s="479"/>
      <c r="M27" s="479"/>
      <c r="N27" s="479"/>
      <c r="O27" s="479"/>
      <c r="P27" s="479"/>
      <c r="Q27" s="471"/>
    </row>
    <row r="28" spans="1:17" ht="12.75">
      <c r="A28" s="478">
        <v>8</v>
      </c>
      <c r="B28" s="479" t="s">
        <v>323</v>
      </c>
      <c r="C28" s="479" t="s">
        <v>329</v>
      </c>
      <c r="D28" s="480">
        <v>38722</v>
      </c>
      <c r="E28" s="479"/>
      <c r="F28" s="479">
        <v>0.0046</v>
      </c>
      <c r="G28" s="479">
        <v>0.0005</v>
      </c>
      <c r="H28" s="479">
        <v>0.00024</v>
      </c>
      <c r="I28" s="479" t="s">
        <v>321</v>
      </c>
      <c r="J28" s="479">
        <f t="shared" si="0"/>
        <v>0.0046</v>
      </c>
      <c r="K28" s="479"/>
      <c r="L28" s="479"/>
      <c r="M28" s="479"/>
      <c r="N28" s="479"/>
      <c r="O28" s="479"/>
      <c r="P28" s="479"/>
      <c r="Q28" s="471"/>
    </row>
    <row r="29" spans="1:17" ht="12.75">
      <c r="A29" s="478">
        <v>8</v>
      </c>
      <c r="B29" s="479" t="s">
        <v>323</v>
      </c>
      <c r="C29" s="479" t="s">
        <v>329</v>
      </c>
      <c r="D29" s="480">
        <v>38750</v>
      </c>
      <c r="E29" s="479"/>
      <c r="F29" s="479">
        <v>0.0044</v>
      </c>
      <c r="G29" s="479">
        <v>0.0005</v>
      </c>
      <c r="H29" s="479">
        <v>0.0002</v>
      </c>
      <c r="I29" s="479" t="s">
        <v>321</v>
      </c>
      <c r="J29" s="479">
        <f t="shared" si="0"/>
        <v>0.0044</v>
      </c>
      <c r="K29" s="479"/>
      <c r="L29" s="479"/>
      <c r="M29" s="479"/>
      <c r="N29" s="479"/>
      <c r="O29" s="479"/>
      <c r="P29" s="479"/>
      <c r="Q29" s="471"/>
    </row>
    <row r="30" spans="1:17" ht="12.75">
      <c r="A30" s="478">
        <v>13</v>
      </c>
      <c r="B30" s="479" t="s">
        <v>323</v>
      </c>
      <c r="C30" s="479" t="s">
        <v>333</v>
      </c>
      <c r="D30" s="480">
        <v>36957</v>
      </c>
      <c r="E30" s="479" t="s">
        <v>322</v>
      </c>
      <c r="F30" s="479">
        <v>20</v>
      </c>
      <c r="G30" s="479" t="s">
        <v>322</v>
      </c>
      <c r="H30" s="479" t="s">
        <v>322</v>
      </c>
      <c r="I30" s="479" t="s">
        <v>321</v>
      </c>
      <c r="J30" s="479">
        <f t="shared" si="0"/>
        <v>20</v>
      </c>
      <c r="K30" s="479">
        <f>COUNT(A30:A49)</f>
        <v>20</v>
      </c>
      <c r="L30" s="479">
        <f>COUNTIF(E30:E49,"=ND")</f>
        <v>0</v>
      </c>
      <c r="M30" s="481">
        <f>L30/K30*100</f>
        <v>0</v>
      </c>
      <c r="N30" s="479" t="str">
        <f>IF(OR(K30&lt;10,M30&gt;=80),"Y","N")</f>
        <v>N</v>
      </c>
      <c r="O30" s="481">
        <f>AVERAGE(J30:J49)</f>
        <v>38</v>
      </c>
      <c r="P30" s="481">
        <f>STDEV(J30:J49)</f>
        <v>15.286733154154152</v>
      </c>
      <c r="Q30" s="482">
        <f>P30/O30</f>
        <v>0.40228245142510927</v>
      </c>
    </row>
    <row r="31" spans="1:17" ht="12.75">
      <c r="A31" s="478">
        <v>13</v>
      </c>
      <c r="B31" s="479" t="s">
        <v>323</v>
      </c>
      <c r="C31" s="479" t="s">
        <v>333</v>
      </c>
      <c r="D31" s="480">
        <v>37050</v>
      </c>
      <c r="E31" s="479" t="s">
        <v>322</v>
      </c>
      <c r="F31" s="479">
        <v>40</v>
      </c>
      <c r="G31" s="479" t="s">
        <v>322</v>
      </c>
      <c r="H31" s="479" t="s">
        <v>322</v>
      </c>
      <c r="I31" s="479" t="s">
        <v>321</v>
      </c>
      <c r="J31" s="479">
        <f t="shared" si="0"/>
        <v>40</v>
      </c>
      <c r="K31" s="479"/>
      <c r="L31" s="479"/>
      <c r="M31" s="479"/>
      <c r="N31" s="479"/>
      <c r="O31" s="479"/>
      <c r="P31" s="479"/>
      <c r="Q31" s="471"/>
    </row>
    <row r="32" spans="1:17" ht="12.75">
      <c r="A32" s="478">
        <v>13</v>
      </c>
      <c r="B32" s="479" t="s">
        <v>323</v>
      </c>
      <c r="C32" s="479" t="s">
        <v>333</v>
      </c>
      <c r="D32" s="480">
        <v>37139</v>
      </c>
      <c r="E32" s="479" t="s">
        <v>322</v>
      </c>
      <c r="F32" s="479">
        <v>50</v>
      </c>
      <c r="G32" s="479" t="s">
        <v>322</v>
      </c>
      <c r="H32" s="479" t="s">
        <v>322</v>
      </c>
      <c r="I32" s="479" t="s">
        <v>321</v>
      </c>
      <c r="J32" s="479">
        <f t="shared" si="0"/>
        <v>50</v>
      </c>
      <c r="K32" s="479"/>
      <c r="L32" s="479"/>
      <c r="M32" s="479"/>
      <c r="N32" s="479"/>
      <c r="O32" s="479"/>
      <c r="P32" s="479"/>
      <c r="Q32" s="471"/>
    </row>
    <row r="33" spans="1:17" ht="12.75">
      <c r="A33" s="478">
        <v>13</v>
      </c>
      <c r="B33" s="479" t="s">
        <v>323</v>
      </c>
      <c r="C33" s="479" t="s">
        <v>333</v>
      </c>
      <c r="D33" s="480">
        <v>37231</v>
      </c>
      <c r="E33" s="479" t="s">
        <v>322</v>
      </c>
      <c r="F33" s="479">
        <v>20</v>
      </c>
      <c r="G33" s="479" t="s">
        <v>322</v>
      </c>
      <c r="H33" s="479" t="s">
        <v>322</v>
      </c>
      <c r="I33" s="479" t="s">
        <v>321</v>
      </c>
      <c r="J33" s="479">
        <f t="shared" si="0"/>
        <v>20</v>
      </c>
      <c r="K33" s="479"/>
      <c r="L33" s="479"/>
      <c r="M33" s="479"/>
      <c r="N33" s="479"/>
      <c r="O33" s="479"/>
      <c r="P33" s="479"/>
      <c r="Q33" s="471"/>
    </row>
    <row r="34" spans="1:17" ht="12.75">
      <c r="A34" s="478">
        <v>13</v>
      </c>
      <c r="B34" s="479" t="s">
        <v>323</v>
      </c>
      <c r="C34" s="479" t="s">
        <v>333</v>
      </c>
      <c r="D34" s="480">
        <v>37336</v>
      </c>
      <c r="E34" s="479" t="s">
        <v>322</v>
      </c>
      <c r="F34" s="479">
        <v>60</v>
      </c>
      <c r="G34" s="479" t="s">
        <v>322</v>
      </c>
      <c r="H34" s="479" t="s">
        <v>322</v>
      </c>
      <c r="I34" s="479" t="s">
        <v>321</v>
      </c>
      <c r="J34" s="479">
        <f aca="true" t="shared" si="1" ref="J34:J65">IF(E34="ND",F34*0.5,F34)</f>
        <v>60</v>
      </c>
      <c r="K34" s="479"/>
      <c r="L34" s="479"/>
      <c r="M34" s="479"/>
      <c r="N34" s="479"/>
      <c r="O34" s="479"/>
      <c r="P34" s="479"/>
      <c r="Q34" s="471"/>
    </row>
    <row r="35" spans="1:17" ht="12.75">
      <c r="A35" s="478">
        <v>13</v>
      </c>
      <c r="B35" s="479" t="s">
        <v>323</v>
      </c>
      <c r="C35" s="479" t="s">
        <v>333</v>
      </c>
      <c r="D35" s="480">
        <v>37428</v>
      </c>
      <c r="E35" s="479" t="s">
        <v>322</v>
      </c>
      <c r="F35" s="479">
        <v>46</v>
      </c>
      <c r="G35" s="479" t="s">
        <v>322</v>
      </c>
      <c r="H35" s="479" t="s">
        <v>322</v>
      </c>
      <c r="I35" s="479" t="s">
        <v>321</v>
      </c>
      <c r="J35" s="479">
        <f t="shared" si="1"/>
        <v>46</v>
      </c>
      <c r="K35" s="479"/>
      <c r="L35" s="479"/>
      <c r="M35" s="479"/>
      <c r="N35" s="479"/>
      <c r="O35" s="479"/>
      <c r="P35" s="479"/>
      <c r="Q35" s="471"/>
    </row>
    <row r="36" spans="1:17" ht="12.75">
      <c r="A36" s="478">
        <v>13</v>
      </c>
      <c r="B36" s="479" t="s">
        <v>323</v>
      </c>
      <c r="C36" s="479" t="s">
        <v>333</v>
      </c>
      <c r="D36" s="480">
        <v>37518</v>
      </c>
      <c r="E36" s="479" t="s">
        <v>322</v>
      </c>
      <c r="F36" s="479">
        <v>46</v>
      </c>
      <c r="G36" s="479" t="s">
        <v>322</v>
      </c>
      <c r="H36" s="479" t="s">
        <v>322</v>
      </c>
      <c r="I36" s="479" t="s">
        <v>321</v>
      </c>
      <c r="J36" s="479">
        <f t="shared" si="1"/>
        <v>46</v>
      </c>
      <c r="K36" s="479"/>
      <c r="L36" s="479"/>
      <c r="M36" s="479"/>
      <c r="N36" s="479"/>
      <c r="O36" s="479"/>
      <c r="P36" s="479"/>
      <c r="Q36" s="471"/>
    </row>
    <row r="37" spans="1:17" ht="12.75">
      <c r="A37" s="478">
        <v>13</v>
      </c>
      <c r="B37" s="479" t="s">
        <v>323</v>
      </c>
      <c r="C37" s="479" t="s">
        <v>333</v>
      </c>
      <c r="D37" s="480">
        <v>37610</v>
      </c>
      <c r="E37" s="479" t="s">
        <v>322</v>
      </c>
      <c r="F37" s="479">
        <v>10</v>
      </c>
      <c r="G37" s="479" t="s">
        <v>322</v>
      </c>
      <c r="H37" s="479" t="s">
        <v>322</v>
      </c>
      <c r="I37" s="479" t="s">
        <v>321</v>
      </c>
      <c r="J37" s="479">
        <f t="shared" si="1"/>
        <v>10</v>
      </c>
      <c r="K37" s="479"/>
      <c r="L37" s="479"/>
      <c r="M37" s="479"/>
      <c r="N37" s="479"/>
      <c r="O37" s="479"/>
      <c r="P37" s="479"/>
      <c r="Q37" s="471"/>
    </row>
    <row r="38" spans="1:17" ht="12.75">
      <c r="A38" s="478">
        <v>13</v>
      </c>
      <c r="B38" s="479" t="s">
        <v>323</v>
      </c>
      <c r="C38" s="479" t="s">
        <v>333</v>
      </c>
      <c r="D38" s="480">
        <v>37701</v>
      </c>
      <c r="E38" s="479" t="s">
        <v>322</v>
      </c>
      <c r="F38" s="479">
        <v>45</v>
      </c>
      <c r="G38" s="479" t="s">
        <v>322</v>
      </c>
      <c r="H38" s="479" t="s">
        <v>322</v>
      </c>
      <c r="I38" s="479" t="s">
        <v>321</v>
      </c>
      <c r="J38" s="479">
        <f t="shared" si="1"/>
        <v>45</v>
      </c>
      <c r="K38" s="479"/>
      <c r="L38" s="479"/>
      <c r="M38" s="479"/>
      <c r="N38" s="479"/>
      <c r="O38" s="479"/>
      <c r="P38" s="479"/>
      <c r="Q38" s="471"/>
    </row>
    <row r="39" spans="1:17" ht="12.75">
      <c r="A39" s="478">
        <v>13</v>
      </c>
      <c r="B39" s="479" t="s">
        <v>323</v>
      </c>
      <c r="C39" s="479" t="s">
        <v>333</v>
      </c>
      <c r="D39" s="480">
        <v>37782</v>
      </c>
      <c r="E39" s="479" t="s">
        <v>322</v>
      </c>
      <c r="F39" s="479">
        <v>45</v>
      </c>
      <c r="G39" s="479" t="s">
        <v>322</v>
      </c>
      <c r="H39" s="479" t="s">
        <v>322</v>
      </c>
      <c r="I39" s="479" t="s">
        <v>321</v>
      </c>
      <c r="J39" s="479">
        <f t="shared" si="1"/>
        <v>45</v>
      </c>
      <c r="K39" s="479"/>
      <c r="L39" s="479"/>
      <c r="M39" s="479"/>
      <c r="N39" s="479"/>
      <c r="O39" s="479"/>
      <c r="P39" s="479"/>
      <c r="Q39" s="471"/>
    </row>
    <row r="40" spans="1:17" ht="12.75">
      <c r="A40" s="478">
        <v>13</v>
      </c>
      <c r="B40" s="479" t="s">
        <v>323</v>
      </c>
      <c r="C40" s="479" t="s">
        <v>333</v>
      </c>
      <c r="D40" s="480">
        <v>37874</v>
      </c>
      <c r="E40" s="479" t="s">
        <v>322</v>
      </c>
      <c r="F40" s="479">
        <v>25</v>
      </c>
      <c r="G40" s="479" t="s">
        <v>322</v>
      </c>
      <c r="H40" s="479" t="s">
        <v>322</v>
      </c>
      <c r="I40" s="479" t="s">
        <v>321</v>
      </c>
      <c r="J40" s="479">
        <f t="shared" si="1"/>
        <v>25</v>
      </c>
      <c r="K40" s="479"/>
      <c r="L40" s="479"/>
      <c r="M40" s="479"/>
      <c r="N40" s="479"/>
      <c r="O40" s="479"/>
      <c r="P40" s="479"/>
      <c r="Q40" s="471"/>
    </row>
    <row r="41" spans="1:17" ht="12.75">
      <c r="A41" s="478">
        <v>13</v>
      </c>
      <c r="B41" s="479" t="s">
        <v>323</v>
      </c>
      <c r="C41" s="479" t="s">
        <v>333</v>
      </c>
      <c r="D41" s="480">
        <v>37964</v>
      </c>
      <c r="E41" s="479" t="s">
        <v>322</v>
      </c>
      <c r="F41" s="479">
        <v>12</v>
      </c>
      <c r="G41" s="479" t="s">
        <v>322</v>
      </c>
      <c r="H41" s="479" t="s">
        <v>322</v>
      </c>
      <c r="I41" s="479" t="s">
        <v>321</v>
      </c>
      <c r="J41" s="479">
        <f t="shared" si="1"/>
        <v>12</v>
      </c>
      <c r="K41" s="479"/>
      <c r="L41" s="479"/>
      <c r="M41" s="479"/>
      <c r="N41" s="479"/>
      <c r="O41" s="479"/>
      <c r="P41" s="479"/>
      <c r="Q41" s="471"/>
    </row>
    <row r="42" spans="1:17" ht="12.75">
      <c r="A42" s="478">
        <v>13</v>
      </c>
      <c r="B42" s="479" t="s">
        <v>323</v>
      </c>
      <c r="C42" s="479" t="s">
        <v>333</v>
      </c>
      <c r="D42" s="480">
        <v>38055</v>
      </c>
      <c r="E42" s="479" t="s">
        <v>322</v>
      </c>
      <c r="F42" s="479">
        <v>46</v>
      </c>
      <c r="G42" s="479" t="s">
        <v>322</v>
      </c>
      <c r="H42" s="479" t="s">
        <v>322</v>
      </c>
      <c r="I42" s="479" t="s">
        <v>321</v>
      </c>
      <c r="J42" s="479">
        <f t="shared" si="1"/>
        <v>46</v>
      </c>
      <c r="K42" s="479"/>
      <c r="L42" s="479"/>
      <c r="M42" s="479"/>
      <c r="N42" s="479"/>
      <c r="O42" s="479"/>
      <c r="P42" s="479"/>
      <c r="Q42" s="471"/>
    </row>
    <row r="43" spans="1:17" ht="12.75">
      <c r="A43" s="478">
        <v>13</v>
      </c>
      <c r="B43" s="479" t="s">
        <v>323</v>
      </c>
      <c r="C43" s="479" t="s">
        <v>333</v>
      </c>
      <c r="D43" s="480">
        <v>38146</v>
      </c>
      <c r="E43" s="479" t="s">
        <v>322</v>
      </c>
      <c r="F43" s="479">
        <v>43</v>
      </c>
      <c r="G43" s="479" t="s">
        <v>322</v>
      </c>
      <c r="H43" s="479" t="s">
        <v>322</v>
      </c>
      <c r="I43" s="479" t="s">
        <v>321</v>
      </c>
      <c r="J43" s="479">
        <f t="shared" si="1"/>
        <v>43</v>
      </c>
      <c r="K43" s="479"/>
      <c r="L43" s="479"/>
      <c r="M43" s="479"/>
      <c r="N43" s="479"/>
      <c r="O43" s="479"/>
      <c r="P43" s="479"/>
      <c r="Q43" s="471"/>
    </row>
    <row r="44" spans="1:17" ht="12.75">
      <c r="A44" s="478">
        <v>13</v>
      </c>
      <c r="B44" s="479" t="s">
        <v>323</v>
      </c>
      <c r="C44" s="479" t="s">
        <v>333</v>
      </c>
      <c r="D44" s="480">
        <v>38239</v>
      </c>
      <c r="E44" s="479" t="s">
        <v>322</v>
      </c>
      <c r="F44" s="479">
        <v>34</v>
      </c>
      <c r="G44" s="479" t="s">
        <v>322</v>
      </c>
      <c r="H44" s="479" t="s">
        <v>322</v>
      </c>
      <c r="I44" s="479" t="s">
        <v>321</v>
      </c>
      <c r="J44" s="479">
        <f t="shared" si="1"/>
        <v>34</v>
      </c>
      <c r="K44" s="479"/>
      <c r="L44" s="479"/>
      <c r="M44" s="479"/>
      <c r="N44" s="479"/>
      <c r="O44" s="479"/>
      <c r="P44" s="479"/>
      <c r="Q44" s="471"/>
    </row>
    <row r="45" spans="1:17" ht="12.75">
      <c r="A45" s="478">
        <v>13</v>
      </c>
      <c r="B45" s="479" t="s">
        <v>323</v>
      </c>
      <c r="C45" s="479" t="s">
        <v>333</v>
      </c>
      <c r="D45" s="480">
        <v>38328</v>
      </c>
      <c r="E45" s="479" t="s">
        <v>322</v>
      </c>
      <c r="F45" s="479">
        <v>39</v>
      </c>
      <c r="G45" s="479" t="s">
        <v>322</v>
      </c>
      <c r="H45" s="479" t="s">
        <v>322</v>
      </c>
      <c r="I45" s="479" t="s">
        <v>321</v>
      </c>
      <c r="J45" s="479">
        <f t="shared" si="1"/>
        <v>39</v>
      </c>
      <c r="K45" s="479"/>
      <c r="L45" s="479"/>
      <c r="M45" s="479"/>
      <c r="N45" s="479"/>
      <c r="O45" s="479"/>
      <c r="P45" s="479"/>
      <c r="Q45" s="471"/>
    </row>
    <row r="46" spans="1:17" ht="12.75">
      <c r="A46" s="478">
        <v>13</v>
      </c>
      <c r="B46" s="479" t="s">
        <v>323</v>
      </c>
      <c r="C46" s="479" t="s">
        <v>333</v>
      </c>
      <c r="D46" s="480">
        <v>38419</v>
      </c>
      <c r="E46" s="479" t="s">
        <v>322</v>
      </c>
      <c r="F46" s="479">
        <v>23</v>
      </c>
      <c r="G46" s="479" t="s">
        <v>322</v>
      </c>
      <c r="H46" s="479" t="s">
        <v>322</v>
      </c>
      <c r="I46" s="479" t="s">
        <v>321</v>
      </c>
      <c r="J46" s="479">
        <f t="shared" si="1"/>
        <v>23</v>
      </c>
      <c r="K46" s="479"/>
      <c r="L46" s="479"/>
      <c r="M46" s="479"/>
      <c r="N46" s="479"/>
      <c r="O46" s="479"/>
      <c r="P46" s="479"/>
      <c r="Q46" s="471"/>
    </row>
    <row r="47" spans="1:17" ht="12.75">
      <c r="A47" s="478">
        <v>13</v>
      </c>
      <c r="B47" s="479" t="s">
        <v>323</v>
      </c>
      <c r="C47" s="479" t="s">
        <v>333</v>
      </c>
      <c r="D47" s="480">
        <v>38511</v>
      </c>
      <c r="E47" s="479" t="s">
        <v>322</v>
      </c>
      <c r="F47" s="479">
        <v>45</v>
      </c>
      <c r="G47" s="479" t="s">
        <v>322</v>
      </c>
      <c r="H47" s="479" t="s">
        <v>322</v>
      </c>
      <c r="I47" s="479" t="s">
        <v>321</v>
      </c>
      <c r="J47" s="479">
        <f t="shared" si="1"/>
        <v>45</v>
      </c>
      <c r="K47" s="479"/>
      <c r="L47" s="479"/>
      <c r="M47" s="479"/>
      <c r="N47" s="479"/>
      <c r="O47" s="479"/>
      <c r="P47" s="479"/>
      <c r="Q47" s="471"/>
    </row>
    <row r="48" spans="1:17" ht="12.75">
      <c r="A48" s="478">
        <v>13</v>
      </c>
      <c r="B48" s="479" t="s">
        <v>323</v>
      </c>
      <c r="C48" s="479" t="s">
        <v>333</v>
      </c>
      <c r="D48" s="480">
        <v>38602</v>
      </c>
      <c r="E48" s="479" t="s">
        <v>322</v>
      </c>
      <c r="F48" s="479">
        <v>68</v>
      </c>
      <c r="G48" s="479" t="s">
        <v>322</v>
      </c>
      <c r="H48" s="479" t="s">
        <v>322</v>
      </c>
      <c r="I48" s="479" t="s">
        <v>321</v>
      </c>
      <c r="J48" s="479">
        <f t="shared" si="1"/>
        <v>68</v>
      </c>
      <c r="K48" s="479"/>
      <c r="L48" s="479"/>
      <c r="M48" s="479"/>
      <c r="N48" s="479"/>
      <c r="O48" s="479"/>
      <c r="P48" s="479"/>
      <c r="Q48" s="471"/>
    </row>
    <row r="49" spans="1:17" ht="12.75">
      <c r="A49" s="478">
        <v>13</v>
      </c>
      <c r="B49" s="479" t="s">
        <v>323</v>
      </c>
      <c r="C49" s="479" t="s">
        <v>333</v>
      </c>
      <c r="D49" s="480">
        <v>38699</v>
      </c>
      <c r="E49" s="479" t="s">
        <v>322</v>
      </c>
      <c r="F49" s="479">
        <v>43</v>
      </c>
      <c r="G49" s="479" t="s">
        <v>322</v>
      </c>
      <c r="H49" s="479" t="s">
        <v>322</v>
      </c>
      <c r="I49" s="479" t="s">
        <v>321</v>
      </c>
      <c r="J49" s="479">
        <f t="shared" si="1"/>
        <v>43</v>
      </c>
      <c r="K49" s="479"/>
      <c r="L49" s="479"/>
      <c r="M49" s="479"/>
      <c r="N49" s="479"/>
      <c r="O49" s="479"/>
      <c r="P49" s="479"/>
      <c r="Q49" s="471"/>
    </row>
    <row r="50" spans="1:17" ht="12.75">
      <c r="A50" s="478">
        <v>14</v>
      </c>
      <c r="B50" s="479" t="s">
        <v>323</v>
      </c>
      <c r="C50" s="479" t="s">
        <v>334</v>
      </c>
      <c r="D50" s="480">
        <v>36957</v>
      </c>
      <c r="E50" s="479" t="s">
        <v>245</v>
      </c>
      <c r="F50" s="479">
        <v>4</v>
      </c>
      <c r="G50" s="479" t="s">
        <v>322</v>
      </c>
      <c r="H50" s="479" t="s">
        <v>322</v>
      </c>
      <c r="I50" s="479" t="s">
        <v>321</v>
      </c>
      <c r="J50" s="479">
        <f t="shared" si="1"/>
        <v>2</v>
      </c>
      <c r="K50" s="479">
        <f>COUNT(A50:A95)</f>
        <v>46</v>
      </c>
      <c r="L50" s="479">
        <f>COUNTIF(E50:E95,"=ND")</f>
        <v>29</v>
      </c>
      <c r="M50" s="481">
        <f>L50/K50*100</f>
        <v>63.04347826086957</v>
      </c>
      <c r="N50" s="479" t="str">
        <f>IF(OR(K50&lt;10,M50&gt;=80),"Y","N")</f>
        <v>N</v>
      </c>
      <c r="O50" s="481">
        <f>AVERAGE(J50:J95)</f>
        <v>2.7369565217391303</v>
      </c>
      <c r="P50" s="481">
        <f>STDEV(J50:J95)</f>
        <v>1.8047294282464463</v>
      </c>
      <c r="Q50" s="482">
        <f>P50/O50</f>
        <v>0.6593928014244363</v>
      </c>
    </row>
    <row r="51" spans="1:17" ht="12.75">
      <c r="A51" s="478">
        <v>14</v>
      </c>
      <c r="B51" s="479" t="s">
        <v>323</v>
      </c>
      <c r="C51" s="479" t="s">
        <v>334</v>
      </c>
      <c r="D51" s="480">
        <v>37050</v>
      </c>
      <c r="E51" s="479" t="s">
        <v>322</v>
      </c>
      <c r="F51" s="479">
        <v>6</v>
      </c>
      <c r="G51" s="479" t="s">
        <v>322</v>
      </c>
      <c r="H51" s="479" t="s">
        <v>322</v>
      </c>
      <c r="I51" s="479" t="s">
        <v>321</v>
      </c>
      <c r="J51" s="479">
        <f t="shared" si="1"/>
        <v>6</v>
      </c>
      <c r="K51" s="479"/>
      <c r="L51" s="479"/>
      <c r="M51" s="479"/>
      <c r="N51" s="479"/>
      <c r="O51" s="479"/>
      <c r="P51" s="479"/>
      <c r="Q51" s="471"/>
    </row>
    <row r="52" spans="1:17" ht="12.75">
      <c r="A52" s="478">
        <v>14</v>
      </c>
      <c r="B52" s="479" t="s">
        <v>323</v>
      </c>
      <c r="C52" s="479" t="s">
        <v>334</v>
      </c>
      <c r="D52" s="480">
        <v>37139</v>
      </c>
      <c r="E52" s="479" t="s">
        <v>245</v>
      </c>
      <c r="F52" s="479">
        <v>4</v>
      </c>
      <c r="G52" s="479" t="s">
        <v>322</v>
      </c>
      <c r="H52" s="479" t="s">
        <v>322</v>
      </c>
      <c r="I52" s="479" t="s">
        <v>321</v>
      </c>
      <c r="J52" s="479">
        <f t="shared" si="1"/>
        <v>2</v>
      </c>
      <c r="K52" s="479"/>
      <c r="L52" s="479"/>
      <c r="M52" s="479"/>
      <c r="N52" s="479"/>
      <c r="O52" s="479"/>
      <c r="P52" s="479"/>
      <c r="Q52" s="471"/>
    </row>
    <row r="53" spans="1:17" ht="12.75">
      <c r="A53" s="478">
        <v>14</v>
      </c>
      <c r="B53" s="479" t="s">
        <v>323</v>
      </c>
      <c r="C53" s="479" t="s">
        <v>334</v>
      </c>
      <c r="D53" s="480">
        <v>37166</v>
      </c>
      <c r="E53" s="479" t="s">
        <v>322</v>
      </c>
      <c r="F53" s="479">
        <v>1.9</v>
      </c>
      <c r="G53" s="479" t="s">
        <v>322</v>
      </c>
      <c r="H53" s="479" t="s">
        <v>322</v>
      </c>
      <c r="I53" s="479" t="s">
        <v>321</v>
      </c>
      <c r="J53" s="479">
        <f t="shared" si="1"/>
        <v>1.9</v>
      </c>
      <c r="K53" s="479"/>
      <c r="L53" s="479"/>
      <c r="M53" s="479"/>
      <c r="N53" s="479"/>
      <c r="O53" s="479"/>
      <c r="P53" s="479"/>
      <c r="Q53" s="471"/>
    </row>
    <row r="54" spans="1:17" ht="12.75">
      <c r="A54" s="478">
        <v>14</v>
      </c>
      <c r="B54" s="479" t="s">
        <v>323</v>
      </c>
      <c r="C54" s="479" t="s">
        <v>334</v>
      </c>
      <c r="D54" s="480">
        <v>37201</v>
      </c>
      <c r="E54" s="479" t="s">
        <v>322</v>
      </c>
      <c r="F54" s="479">
        <v>7</v>
      </c>
      <c r="G54" s="479" t="s">
        <v>322</v>
      </c>
      <c r="H54" s="479" t="s">
        <v>322</v>
      </c>
      <c r="I54" s="479" t="s">
        <v>321</v>
      </c>
      <c r="J54" s="479">
        <f t="shared" si="1"/>
        <v>7</v>
      </c>
      <c r="K54" s="479"/>
      <c r="L54" s="479"/>
      <c r="M54" s="479"/>
      <c r="N54" s="479"/>
      <c r="O54" s="479"/>
      <c r="P54" s="479"/>
      <c r="Q54" s="471"/>
    </row>
    <row r="55" spans="1:17" ht="12.75">
      <c r="A55" s="478">
        <v>14</v>
      </c>
      <c r="B55" s="479" t="s">
        <v>323</v>
      </c>
      <c r="C55" s="479" t="s">
        <v>334</v>
      </c>
      <c r="D55" s="480">
        <v>37231</v>
      </c>
      <c r="E55" s="479" t="s">
        <v>245</v>
      </c>
      <c r="F55" s="479">
        <v>3</v>
      </c>
      <c r="G55" s="479" t="s">
        <v>322</v>
      </c>
      <c r="H55" s="479" t="s">
        <v>322</v>
      </c>
      <c r="I55" s="479" t="s">
        <v>321</v>
      </c>
      <c r="J55" s="479">
        <f t="shared" si="1"/>
        <v>1.5</v>
      </c>
      <c r="K55" s="479"/>
      <c r="L55" s="479"/>
      <c r="M55" s="479"/>
      <c r="N55" s="479"/>
      <c r="O55" s="479"/>
      <c r="P55" s="479"/>
      <c r="Q55" s="471"/>
    </row>
    <row r="56" spans="1:17" ht="12.75">
      <c r="A56" s="478">
        <v>14</v>
      </c>
      <c r="B56" s="479" t="s">
        <v>323</v>
      </c>
      <c r="C56" s="479" t="s">
        <v>334</v>
      </c>
      <c r="D56" s="480">
        <v>37264</v>
      </c>
      <c r="E56" s="479" t="s">
        <v>245</v>
      </c>
      <c r="F56" s="479">
        <v>4</v>
      </c>
      <c r="G56" s="479" t="s">
        <v>322</v>
      </c>
      <c r="H56" s="479" t="s">
        <v>322</v>
      </c>
      <c r="I56" s="479" t="s">
        <v>321</v>
      </c>
      <c r="J56" s="479">
        <f t="shared" si="1"/>
        <v>2</v>
      </c>
      <c r="K56" s="479"/>
      <c r="L56" s="479"/>
      <c r="M56" s="479"/>
      <c r="N56" s="479"/>
      <c r="O56" s="479"/>
      <c r="P56" s="479"/>
      <c r="Q56" s="471"/>
    </row>
    <row r="57" spans="1:17" ht="12.75">
      <c r="A57" s="478">
        <v>14</v>
      </c>
      <c r="B57" s="479" t="s">
        <v>323</v>
      </c>
      <c r="C57" s="479" t="s">
        <v>334</v>
      </c>
      <c r="D57" s="480">
        <v>37292</v>
      </c>
      <c r="E57" s="479" t="s">
        <v>245</v>
      </c>
      <c r="F57" s="479">
        <v>4</v>
      </c>
      <c r="G57" s="479" t="s">
        <v>322</v>
      </c>
      <c r="H57" s="479" t="s">
        <v>322</v>
      </c>
      <c r="I57" s="479" t="s">
        <v>321</v>
      </c>
      <c r="J57" s="479">
        <f t="shared" si="1"/>
        <v>2</v>
      </c>
      <c r="K57" s="479"/>
      <c r="L57" s="479"/>
      <c r="M57" s="479"/>
      <c r="N57" s="479"/>
      <c r="O57" s="479"/>
      <c r="P57" s="479"/>
      <c r="Q57" s="471"/>
    </row>
    <row r="58" spans="1:17" ht="12.75">
      <c r="A58" s="478">
        <v>14</v>
      </c>
      <c r="B58" s="479" t="s">
        <v>323</v>
      </c>
      <c r="C58" s="479" t="s">
        <v>334</v>
      </c>
      <c r="D58" s="480">
        <v>37342</v>
      </c>
      <c r="E58" s="479" t="s">
        <v>245</v>
      </c>
      <c r="F58" s="479">
        <v>3</v>
      </c>
      <c r="G58" s="479" t="s">
        <v>322</v>
      </c>
      <c r="H58" s="479" t="s">
        <v>322</v>
      </c>
      <c r="I58" s="479" t="s">
        <v>321</v>
      </c>
      <c r="J58" s="479">
        <f t="shared" si="1"/>
        <v>1.5</v>
      </c>
      <c r="K58" s="479"/>
      <c r="L58" s="479"/>
      <c r="M58" s="479"/>
      <c r="N58" s="479"/>
      <c r="O58" s="479"/>
      <c r="P58" s="479"/>
      <c r="Q58" s="471"/>
    </row>
    <row r="59" spans="1:17" ht="12.75">
      <c r="A59" s="478">
        <v>14</v>
      </c>
      <c r="B59" s="479" t="s">
        <v>323</v>
      </c>
      <c r="C59" s="479" t="s">
        <v>334</v>
      </c>
      <c r="D59" s="480">
        <v>37350</v>
      </c>
      <c r="E59" s="479" t="s">
        <v>322</v>
      </c>
      <c r="F59" s="479">
        <v>4</v>
      </c>
      <c r="G59" s="479" t="s">
        <v>322</v>
      </c>
      <c r="H59" s="479" t="s">
        <v>322</v>
      </c>
      <c r="I59" s="479" t="s">
        <v>321</v>
      </c>
      <c r="J59" s="479">
        <f t="shared" si="1"/>
        <v>4</v>
      </c>
      <c r="K59" s="479"/>
      <c r="L59" s="479"/>
      <c r="M59" s="479"/>
      <c r="N59" s="479"/>
      <c r="O59" s="479"/>
      <c r="P59" s="479"/>
      <c r="Q59" s="471"/>
    </row>
    <row r="60" spans="1:17" ht="12.75">
      <c r="A60" s="478">
        <v>14</v>
      </c>
      <c r="B60" s="479" t="s">
        <v>323</v>
      </c>
      <c r="C60" s="479" t="s">
        <v>334</v>
      </c>
      <c r="D60" s="480">
        <v>37428</v>
      </c>
      <c r="E60" s="479" t="s">
        <v>245</v>
      </c>
      <c r="F60" s="479">
        <v>3</v>
      </c>
      <c r="G60" s="479" t="s">
        <v>322</v>
      </c>
      <c r="H60" s="479" t="s">
        <v>322</v>
      </c>
      <c r="I60" s="479" t="s">
        <v>321</v>
      </c>
      <c r="J60" s="479">
        <f t="shared" si="1"/>
        <v>1.5</v>
      </c>
      <c r="K60" s="479"/>
      <c r="L60" s="479"/>
      <c r="M60" s="479"/>
      <c r="N60" s="479"/>
      <c r="O60" s="479"/>
      <c r="P60" s="479"/>
      <c r="Q60" s="471"/>
    </row>
    <row r="61" spans="1:17" ht="12.75">
      <c r="A61" s="478">
        <v>14</v>
      </c>
      <c r="B61" s="479" t="s">
        <v>323</v>
      </c>
      <c r="C61" s="479" t="s">
        <v>334</v>
      </c>
      <c r="D61" s="480">
        <v>37440</v>
      </c>
      <c r="E61" s="479" t="s">
        <v>245</v>
      </c>
      <c r="F61" s="479">
        <v>3</v>
      </c>
      <c r="G61" s="479" t="s">
        <v>322</v>
      </c>
      <c r="H61" s="479" t="s">
        <v>322</v>
      </c>
      <c r="I61" s="479" t="s">
        <v>321</v>
      </c>
      <c r="J61" s="479">
        <f t="shared" si="1"/>
        <v>1.5</v>
      </c>
      <c r="K61" s="479"/>
      <c r="L61" s="479"/>
      <c r="M61" s="479"/>
      <c r="N61" s="479"/>
      <c r="O61" s="479"/>
      <c r="P61" s="479"/>
      <c r="Q61" s="471"/>
    </row>
    <row r="62" spans="1:17" ht="12.75">
      <c r="A62" s="478">
        <v>14</v>
      </c>
      <c r="B62" s="479" t="s">
        <v>323</v>
      </c>
      <c r="C62" s="479" t="s">
        <v>334</v>
      </c>
      <c r="D62" s="480">
        <v>37518</v>
      </c>
      <c r="E62" s="479" t="s">
        <v>322</v>
      </c>
      <c r="F62" s="479">
        <v>5</v>
      </c>
      <c r="G62" s="479" t="s">
        <v>322</v>
      </c>
      <c r="H62" s="479" t="s">
        <v>322</v>
      </c>
      <c r="I62" s="479" t="s">
        <v>321</v>
      </c>
      <c r="J62" s="479">
        <f t="shared" si="1"/>
        <v>5</v>
      </c>
      <c r="K62" s="479"/>
      <c r="L62" s="479"/>
      <c r="M62" s="479"/>
      <c r="N62" s="479"/>
      <c r="O62" s="479"/>
      <c r="P62" s="479"/>
      <c r="Q62" s="471"/>
    </row>
    <row r="63" spans="1:17" ht="12.75">
      <c r="A63" s="478">
        <v>14</v>
      </c>
      <c r="B63" s="479" t="s">
        <v>323</v>
      </c>
      <c r="C63" s="479" t="s">
        <v>334</v>
      </c>
      <c r="D63" s="480">
        <v>37610</v>
      </c>
      <c r="E63" s="479" t="s">
        <v>245</v>
      </c>
      <c r="F63" s="479">
        <v>3</v>
      </c>
      <c r="G63" s="479" t="s">
        <v>322</v>
      </c>
      <c r="H63" s="479" t="s">
        <v>322</v>
      </c>
      <c r="I63" s="479" t="s">
        <v>321</v>
      </c>
      <c r="J63" s="479">
        <f t="shared" si="1"/>
        <v>1.5</v>
      </c>
      <c r="K63" s="479"/>
      <c r="L63" s="479"/>
      <c r="M63" s="479"/>
      <c r="N63" s="479"/>
      <c r="O63" s="479"/>
      <c r="P63" s="479"/>
      <c r="Q63" s="471"/>
    </row>
    <row r="64" spans="1:17" ht="12.75">
      <c r="A64" s="478">
        <v>14</v>
      </c>
      <c r="B64" s="479" t="s">
        <v>323</v>
      </c>
      <c r="C64" s="479" t="s">
        <v>334</v>
      </c>
      <c r="D64" s="480">
        <v>37631</v>
      </c>
      <c r="E64" s="479" t="s">
        <v>245</v>
      </c>
      <c r="F64" s="479">
        <v>3</v>
      </c>
      <c r="G64" s="479" t="s">
        <v>322</v>
      </c>
      <c r="H64" s="479" t="s">
        <v>322</v>
      </c>
      <c r="I64" s="479" t="s">
        <v>321</v>
      </c>
      <c r="J64" s="479">
        <f t="shared" si="1"/>
        <v>1.5</v>
      </c>
      <c r="K64" s="479"/>
      <c r="L64" s="479"/>
      <c r="M64" s="479"/>
      <c r="N64" s="479"/>
      <c r="O64" s="479"/>
      <c r="P64" s="479"/>
      <c r="Q64" s="471"/>
    </row>
    <row r="65" spans="1:17" ht="12.75">
      <c r="A65" s="478">
        <v>14</v>
      </c>
      <c r="B65" s="479" t="s">
        <v>323</v>
      </c>
      <c r="C65" s="479" t="s">
        <v>334</v>
      </c>
      <c r="D65" s="480">
        <v>37663</v>
      </c>
      <c r="E65" s="479" t="s">
        <v>245</v>
      </c>
      <c r="F65" s="479">
        <v>3</v>
      </c>
      <c r="G65" s="479" t="s">
        <v>322</v>
      </c>
      <c r="H65" s="479" t="s">
        <v>322</v>
      </c>
      <c r="I65" s="479" t="s">
        <v>321</v>
      </c>
      <c r="J65" s="479">
        <f t="shared" si="1"/>
        <v>1.5</v>
      </c>
      <c r="K65" s="479"/>
      <c r="L65" s="479"/>
      <c r="M65" s="479"/>
      <c r="N65" s="479"/>
      <c r="O65" s="479"/>
      <c r="P65" s="479"/>
      <c r="Q65" s="471"/>
    </row>
    <row r="66" spans="1:17" ht="12.75">
      <c r="A66" s="478">
        <v>14</v>
      </c>
      <c r="B66" s="479" t="s">
        <v>323</v>
      </c>
      <c r="C66" s="479" t="s">
        <v>334</v>
      </c>
      <c r="D66" s="480">
        <v>37777</v>
      </c>
      <c r="E66" s="479" t="s">
        <v>245</v>
      </c>
      <c r="F66" s="479">
        <v>3</v>
      </c>
      <c r="G66" s="479" t="s">
        <v>322</v>
      </c>
      <c r="H66" s="479" t="s">
        <v>322</v>
      </c>
      <c r="I66" s="479" t="s">
        <v>321</v>
      </c>
      <c r="J66" s="479">
        <f aca="true" t="shared" si="2" ref="J66:J100">IF(E66="ND",F66*0.5,F66)</f>
        <v>1.5</v>
      </c>
      <c r="K66" s="479"/>
      <c r="L66" s="479"/>
      <c r="M66" s="479"/>
      <c r="N66" s="479"/>
      <c r="O66" s="479"/>
      <c r="P66" s="479"/>
      <c r="Q66" s="471"/>
    </row>
    <row r="67" spans="1:17" ht="12.75">
      <c r="A67" s="478">
        <v>14</v>
      </c>
      <c r="B67" s="479" t="s">
        <v>323</v>
      </c>
      <c r="C67" s="479" t="s">
        <v>334</v>
      </c>
      <c r="D67" s="480">
        <v>37805</v>
      </c>
      <c r="E67" s="479" t="s">
        <v>322</v>
      </c>
      <c r="F67" s="479">
        <v>4</v>
      </c>
      <c r="G67" s="479" t="s">
        <v>322</v>
      </c>
      <c r="H67" s="479" t="s">
        <v>322</v>
      </c>
      <c r="I67" s="479" t="s">
        <v>321</v>
      </c>
      <c r="J67" s="479">
        <f t="shared" si="2"/>
        <v>4</v>
      </c>
      <c r="K67" s="479"/>
      <c r="L67" s="479"/>
      <c r="M67" s="479"/>
      <c r="N67" s="479"/>
      <c r="O67" s="479"/>
      <c r="P67" s="479"/>
      <c r="Q67" s="471"/>
    </row>
    <row r="68" spans="1:17" ht="12.75">
      <c r="A68" s="478">
        <v>14</v>
      </c>
      <c r="B68" s="479" t="s">
        <v>323</v>
      </c>
      <c r="C68" s="479" t="s">
        <v>334</v>
      </c>
      <c r="D68" s="480">
        <v>37838</v>
      </c>
      <c r="E68" s="479" t="s">
        <v>322</v>
      </c>
      <c r="F68" s="479">
        <v>5</v>
      </c>
      <c r="G68" s="479" t="s">
        <v>322</v>
      </c>
      <c r="H68" s="479" t="s">
        <v>322</v>
      </c>
      <c r="I68" s="479" t="s">
        <v>321</v>
      </c>
      <c r="J68" s="479">
        <f t="shared" si="2"/>
        <v>5</v>
      </c>
      <c r="K68" s="479"/>
      <c r="L68" s="479"/>
      <c r="M68" s="479"/>
      <c r="N68" s="479"/>
      <c r="O68" s="479"/>
      <c r="P68" s="479"/>
      <c r="Q68" s="471"/>
    </row>
    <row r="69" spans="1:17" ht="12.75">
      <c r="A69" s="478">
        <v>14</v>
      </c>
      <c r="B69" s="479" t="s">
        <v>323</v>
      </c>
      <c r="C69" s="479" t="s">
        <v>334</v>
      </c>
      <c r="D69" s="480">
        <v>37868</v>
      </c>
      <c r="E69" s="479" t="s">
        <v>245</v>
      </c>
      <c r="F69" s="479">
        <v>3</v>
      </c>
      <c r="G69" s="479" t="s">
        <v>322</v>
      </c>
      <c r="H69" s="479" t="s">
        <v>322</v>
      </c>
      <c r="I69" s="479" t="s">
        <v>321</v>
      </c>
      <c r="J69" s="479">
        <f t="shared" si="2"/>
        <v>1.5</v>
      </c>
      <c r="K69" s="479"/>
      <c r="L69" s="479"/>
      <c r="M69" s="479"/>
      <c r="N69" s="479"/>
      <c r="O69" s="479"/>
      <c r="P69" s="479"/>
      <c r="Q69" s="471"/>
    </row>
    <row r="70" spans="1:17" ht="12.75">
      <c r="A70" s="478">
        <v>14</v>
      </c>
      <c r="B70" s="479" t="s">
        <v>323</v>
      </c>
      <c r="C70" s="479" t="s">
        <v>334</v>
      </c>
      <c r="D70" s="480">
        <v>37896</v>
      </c>
      <c r="E70" s="479" t="s">
        <v>322</v>
      </c>
      <c r="F70" s="479">
        <v>6</v>
      </c>
      <c r="G70" s="479" t="s">
        <v>322</v>
      </c>
      <c r="H70" s="479" t="s">
        <v>322</v>
      </c>
      <c r="I70" s="479" t="s">
        <v>321</v>
      </c>
      <c r="J70" s="479">
        <f t="shared" si="2"/>
        <v>6</v>
      </c>
      <c r="K70" s="479"/>
      <c r="L70" s="479"/>
      <c r="M70" s="479"/>
      <c r="N70" s="479"/>
      <c r="O70" s="479"/>
      <c r="P70" s="479"/>
      <c r="Q70" s="471"/>
    </row>
    <row r="71" spans="1:17" ht="12.75">
      <c r="A71" s="478">
        <v>14</v>
      </c>
      <c r="B71" s="479" t="s">
        <v>323</v>
      </c>
      <c r="C71" s="479" t="s">
        <v>334</v>
      </c>
      <c r="D71" s="480">
        <v>37929</v>
      </c>
      <c r="E71" s="479" t="s">
        <v>322</v>
      </c>
      <c r="F71" s="479">
        <v>3</v>
      </c>
      <c r="G71" s="479" t="s">
        <v>322</v>
      </c>
      <c r="H71" s="479" t="s">
        <v>322</v>
      </c>
      <c r="I71" s="479" t="s">
        <v>321</v>
      </c>
      <c r="J71" s="479">
        <f t="shared" si="2"/>
        <v>3</v>
      </c>
      <c r="K71" s="479"/>
      <c r="L71" s="479"/>
      <c r="M71" s="479"/>
      <c r="N71" s="479"/>
      <c r="O71" s="479"/>
      <c r="P71" s="479"/>
      <c r="Q71" s="471"/>
    </row>
    <row r="72" spans="1:17" ht="12.75">
      <c r="A72" s="478">
        <v>14</v>
      </c>
      <c r="B72" s="479" t="s">
        <v>323</v>
      </c>
      <c r="C72" s="479" t="s">
        <v>334</v>
      </c>
      <c r="D72" s="480">
        <v>37960</v>
      </c>
      <c r="E72" s="479" t="s">
        <v>245</v>
      </c>
      <c r="F72" s="479">
        <v>3</v>
      </c>
      <c r="G72" s="479" t="s">
        <v>322</v>
      </c>
      <c r="H72" s="479" t="s">
        <v>322</v>
      </c>
      <c r="I72" s="479" t="s">
        <v>321</v>
      </c>
      <c r="J72" s="479">
        <f t="shared" si="2"/>
        <v>1.5</v>
      </c>
      <c r="K72" s="479"/>
      <c r="L72" s="479"/>
      <c r="M72" s="479"/>
      <c r="N72" s="479"/>
      <c r="O72" s="479"/>
      <c r="P72" s="479"/>
      <c r="Q72" s="471"/>
    </row>
    <row r="73" spans="1:17" ht="12.75">
      <c r="A73" s="478">
        <v>14</v>
      </c>
      <c r="B73" s="479" t="s">
        <v>323</v>
      </c>
      <c r="C73" s="479" t="s">
        <v>334</v>
      </c>
      <c r="D73" s="480">
        <v>37993</v>
      </c>
      <c r="E73" s="479" t="s">
        <v>245</v>
      </c>
      <c r="F73" s="479">
        <v>3</v>
      </c>
      <c r="G73" s="479" t="s">
        <v>322</v>
      </c>
      <c r="H73" s="479" t="s">
        <v>322</v>
      </c>
      <c r="I73" s="479" t="s">
        <v>321</v>
      </c>
      <c r="J73" s="479">
        <f t="shared" si="2"/>
        <v>1.5</v>
      </c>
      <c r="K73" s="479"/>
      <c r="L73" s="479"/>
      <c r="M73" s="479"/>
      <c r="N73" s="479"/>
      <c r="O73" s="479"/>
      <c r="P73" s="479"/>
      <c r="Q73" s="471"/>
    </row>
    <row r="74" spans="1:17" ht="12.75">
      <c r="A74" s="478">
        <v>14</v>
      </c>
      <c r="B74" s="479" t="s">
        <v>323</v>
      </c>
      <c r="C74" s="479" t="s">
        <v>334</v>
      </c>
      <c r="D74" s="480">
        <v>38020</v>
      </c>
      <c r="E74" s="479" t="s">
        <v>245</v>
      </c>
      <c r="F74" s="479">
        <v>3</v>
      </c>
      <c r="G74" s="479" t="s">
        <v>322</v>
      </c>
      <c r="H74" s="479" t="s">
        <v>322</v>
      </c>
      <c r="I74" s="479" t="s">
        <v>321</v>
      </c>
      <c r="J74" s="479">
        <f t="shared" si="2"/>
        <v>1.5</v>
      </c>
      <c r="K74" s="479"/>
      <c r="L74" s="479"/>
      <c r="M74" s="479"/>
      <c r="N74" s="479"/>
      <c r="O74" s="479"/>
      <c r="P74" s="479"/>
      <c r="Q74" s="471"/>
    </row>
    <row r="75" spans="1:17" ht="12.75">
      <c r="A75" s="478">
        <v>14</v>
      </c>
      <c r="B75" s="479" t="s">
        <v>323</v>
      </c>
      <c r="C75" s="479" t="s">
        <v>334</v>
      </c>
      <c r="D75" s="480">
        <v>38051</v>
      </c>
      <c r="E75" s="479" t="s">
        <v>245</v>
      </c>
      <c r="F75" s="479">
        <v>3</v>
      </c>
      <c r="G75" s="479" t="s">
        <v>322</v>
      </c>
      <c r="H75" s="479" t="s">
        <v>322</v>
      </c>
      <c r="I75" s="479" t="s">
        <v>321</v>
      </c>
      <c r="J75" s="479">
        <f t="shared" si="2"/>
        <v>1.5</v>
      </c>
      <c r="K75" s="479"/>
      <c r="L75" s="479"/>
      <c r="M75" s="479"/>
      <c r="N75" s="479"/>
      <c r="O75" s="479"/>
      <c r="P75" s="479"/>
      <c r="Q75" s="471"/>
    </row>
    <row r="76" spans="1:17" ht="12.75">
      <c r="A76" s="478">
        <v>14</v>
      </c>
      <c r="B76" s="479" t="s">
        <v>323</v>
      </c>
      <c r="C76" s="479" t="s">
        <v>334</v>
      </c>
      <c r="D76" s="480">
        <v>38084</v>
      </c>
      <c r="E76" s="479" t="s">
        <v>245</v>
      </c>
      <c r="F76" s="479">
        <v>3</v>
      </c>
      <c r="G76" s="479" t="s">
        <v>322</v>
      </c>
      <c r="H76" s="479" t="s">
        <v>322</v>
      </c>
      <c r="I76" s="479" t="s">
        <v>321</v>
      </c>
      <c r="J76" s="479">
        <f t="shared" si="2"/>
        <v>1.5</v>
      </c>
      <c r="K76" s="479"/>
      <c r="L76" s="479"/>
      <c r="M76" s="479"/>
      <c r="N76" s="479"/>
      <c r="O76" s="479"/>
      <c r="P76" s="479"/>
      <c r="Q76" s="471"/>
    </row>
    <row r="77" spans="1:17" ht="12.75">
      <c r="A77" s="478">
        <v>14</v>
      </c>
      <c r="B77" s="479" t="s">
        <v>323</v>
      </c>
      <c r="C77" s="479" t="s">
        <v>334</v>
      </c>
      <c r="D77" s="480">
        <v>38139</v>
      </c>
      <c r="E77" s="479" t="s">
        <v>245</v>
      </c>
      <c r="F77" s="479">
        <v>3</v>
      </c>
      <c r="G77" s="479" t="s">
        <v>322</v>
      </c>
      <c r="H77" s="479" t="s">
        <v>322</v>
      </c>
      <c r="I77" s="479" t="s">
        <v>321</v>
      </c>
      <c r="J77" s="479">
        <f t="shared" si="2"/>
        <v>1.5</v>
      </c>
      <c r="K77" s="479"/>
      <c r="L77" s="479"/>
      <c r="M77" s="479"/>
      <c r="N77" s="479"/>
      <c r="O77" s="479"/>
      <c r="P77" s="479"/>
      <c r="Q77" s="471"/>
    </row>
    <row r="78" spans="1:17" ht="12.75">
      <c r="A78" s="478">
        <v>14</v>
      </c>
      <c r="B78" s="479" t="s">
        <v>323</v>
      </c>
      <c r="C78" s="479" t="s">
        <v>334</v>
      </c>
      <c r="D78" s="480">
        <v>38203</v>
      </c>
      <c r="E78" s="479" t="s">
        <v>245</v>
      </c>
      <c r="F78" s="479">
        <v>3</v>
      </c>
      <c r="G78" s="479" t="s">
        <v>322</v>
      </c>
      <c r="H78" s="479" t="s">
        <v>322</v>
      </c>
      <c r="I78" s="479" t="s">
        <v>321</v>
      </c>
      <c r="J78" s="479">
        <f t="shared" si="2"/>
        <v>1.5</v>
      </c>
      <c r="K78" s="479"/>
      <c r="L78" s="479"/>
      <c r="M78" s="479"/>
      <c r="N78" s="479"/>
      <c r="O78" s="479"/>
      <c r="P78" s="479"/>
      <c r="Q78" s="471"/>
    </row>
    <row r="79" spans="1:17" ht="12.75">
      <c r="A79" s="478">
        <v>14</v>
      </c>
      <c r="B79" s="479" t="s">
        <v>323</v>
      </c>
      <c r="C79" s="479" t="s">
        <v>334</v>
      </c>
      <c r="D79" s="480">
        <v>38231</v>
      </c>
      <c r="E79" s="479" t="s">
        <v>245</v>
      </c>
      <c r="F79" s="479">
        <v>3</v>
      </c>
      <c r="G79" s="479" t="s">
        <v>322</v>
      </c>
      <c r="H79" s="479" t="s">
        <v>322</v>
      </c>
      <c r="I79" s="479" t="s">
        <v>321</v>
      </c>
      <c r="J79" s="479">
        <f t="shared" si="2"/>
        <v>1.5</v>
      </c>
      <c r="K79" s="479"/>
      <c r="L79" s="479"/>
      <c r="M79" s="479"/>
      <c r="N79" s="479"/>
      <c r="O79" s="479"/>
      <c r="P79" s="479"/>
      <c r="Q79" s="471"/>
    </row>
    <row r="80" spans="1:17" ht="12.75">
      <c r="A80" s="478">
        <v>14</v>
      </c>
      <c r="B80" s="479" t="s">
        <v>323</v>
      </c>
      <c r="C80" s="479" t="s">
        <v>334</v>
      </c>
      <c r="D80" s="480">
        <v>38273</v>
      </c>
      <c r="E80" s="479" t="s">
        <v>322</v>
      </c>
      <c r="F80" s="479">
        <v>8</v>
      </c>
      <c r="G80" s="479" t="s">
        <v>322</v>
      </c>
      <c r="H80" s="479" t="s">
        <v>322</v>
      </c>
      <c r="I80" s="479" t="s">
        <v>321</v>
      </c>
      <c r="J80" s="479">
        <f t="shared" si="2"/>
        <v>8</v>
      </c>
      <c r="K80" s="479"/>
      <c r="L80" s="479"/>
      <c r="M80" s="479"/>
      <c r="N80" s="479"/>
      <c r="O80" s="479"/>
      <c r="P80" s="479"/>
      <c r="Q80" s="471"/>
    </row>
    <row r="81" spans="1:17" ht="12.75">
      <c r="A81" s="478">
        <v>14</v>
      </c>
      <c r="B81" s="479" t="s">
        <v>323</v>
      </c>
      <c r="C81" s="479" t="s">
        <v>334</v>
      </c>
      <c r="D81" s="480">
        <v>38293</v>
      </c>
      <c r="E81" s="479" t="s">
        <v>245</v>
      </c>
      <c r="F81" s="479">
        <v>3</v>
      </c>
      <c r="G81" s="479" t="s">
        <v>322</v>
      </c>
      <c r="H81" s="479" t="s">
        <v>322</v>
      </c>
      <c r="I81" s="479" t="s">
        <v>321</v>
      </c>
      <c r="J81" s="479">
        <f t="shared" si="2"/>
        <v>1.5</v>
      </c>
      <c r="K81" s="479"/>
      <c r="L81" s="479"/>
      <c r="M81" s="479"/>
      <c r="N81" s="479"/>
      <c r="O81" s="479"/>
      <c r="P81" s="479"/>
      <c r="Q81" s="471"/>
    </row>
    <row r="82" spans="1:17" ht="12.75">
      <c r="A82" s="478">
        <v>14</v>
      </c>
      <c r="B82" s="479" t="s">
        <v>323</v>
      </c>
      <c r="C82" s="479" t="s">
        <v>334</v>
      </c>
      <c r="D82" s="480">
        <v>38322</v>
      </c>
      <c r="E82" s="479" t="s">
        <v>322</v>
      </c>
      <c r="F82" s="479">
        <v>5.3</v>
      </c>
      <c r="G82" s="479" t="s">
        <v>322</v>
      </c>
      <c r="H82" s="479" t="s">
        <v>322</v>
      </c>
      <c r="I82" s="479" t="s">
        <v>321</v>
      </c>
      <c r="J82" s="479">
        <f t="shared" si="2"/>
        <v>5.3</v>
      </c>
      <c r="K82" s="479"/>
      <c r="L82" s="479"/>
      <c r="M82" s="479"/>
      <c r="N82" s="479"/>
      <c r="O82" s="479"/>
      <c r="P82" s="479"/>
      <c r="Q82" s="471"/>
    </row>
    <row r="83" spans="1:17" ht="12.75">
      <c r="A83" s="478">
        <v>14</v>
      </c>
      <c r="B83" s="479" t="s">
        <v>323</v>
      </c>
      <c r="C83" s="479" t="s">
        <v>334</v>
      </c>
      <c r="D83" s="480">
        <v>38358</v>
      </c>
      <c r="E83" s="479" t="s">
        <v>245</v>
      </c>
      <c r="F83" s="479">
        <v>3</v>
      </c>
      <c r="G83" s="479" t="s">
        <v>322</v>
      </c>
      <c r="H83" s="479" t="s">
        <v>322</v>
      </c>
      <c r="I83" s="479" t="s">
        <v>321</v>
      </c>
      <c r="J83" s="479">
        <f t="shared" si="2"/>
        <v>1.5</v>
      </c>
      <c r="K83" s="479"/>
      <c r="L83" s="479"/>
      <c r="M83" s="479"/>
      <c r="N83" s="479"/>
      <c r="O83" s="479"/>
      <c r="P83" s="479"/>
      <c r="Q83" s="471"/>
    </row>
    <row r="84" spans="1:17" ht="12.75">
      <c r="A84" s="478">
        <v>14</v>
      </c>
      <c r="B84" s="479" t="s">
        <v>323</v>
      </c>
      <c r="C84" s="479" t="s">
        <v>334</v>
      </c>
      <c r="D84" s="480">
        <v>38386</v>
      </c>
      <c r="E84" s="479" t="s">
        <v>245</v>
      </c>
      <c r="F84" s="479">
        <v>3</v>
      </c>
      <c r="G84" s="479" t="s">
        <v>322</v>
      </c>
      <c r="H84" s="479" t="s">
        <v>322</v>
      </c>
      <c r="I84" s="479" t="s">
        <v>321</v>
      </c>
      <c r="J84" s="479">
        <f t="shared" si="2"/>
        <v>1.5</v>
      </c>
      <c r="K84" s="479"/>
      <c r="L84" s="479"/>
      <c r="M84" s="479"/>
      <c r="N84" s="479"/>
      <c r="O84" s="479"/>
      <c r="P84" s="479"/>
      <c r="Q84" s="471"/>
    </row>
    <row r="85" spans="1:17" ht="12.75">
      <c r="A85" s="478">
        <v>14</v>
      </c>
      <c r="B85" s="479" t="s">
        <v>323</v>
      </c>
      <c r="C85" s="479" t="s">
        <v>334</v>
      </c>
      <c r="D85" s="480">
        <v>38413</v>
      </c>
      <c r="E85" s="479" t="s">
        <v>245</v>
      </c>
      <c r="F85" s="479">
        <v>3</v>
      </c>
      <c r="G85" s="479" t="s">
        <v>322</v>
      </c>
      <c r="H85" s="479" t="s">
        <v>322</v>
      </c>
      <c r="I85" s="479" t="s">
        <v>321</v>
      </c>
      <c r="J85" s="479">
        <f t="shared" si="2"/>
        <v>1.5</v>
      </c>
      <c r="K85" s="479"/>
      <c r="L85" s="479"/>
      <c r="M85" s="479"/>
      <c r="N85" s="479"/>
      <c r="O85" s="479"/>
      <c r="P85" s="479"/>
      <c r="Q85" s="471"/>
    </row>
    <row r="86" spans="1:17" ht="12.75">
      <c r="A86" s="478">
        <v>14</v>
      </c>
      <c r="B86" s="479" t="s">
        <v>323</v>
      </c>
      <c r="C86" s="479" t="s">
        <v>334</v>
      </c>
      <c r="D86" s="480">
        <v>38450</v>
      </c>
      <c r="E86" s="479" t="s">
        <v>322</v>
      </c>
      <c r="F86" s="479">
        <v>3.1</v>
      </c>
      <c r="G86" s="479" t="s">
        <v>322</v>
      </c>
      <c r="H86" s="479" t="s">
        <v>322</v>
      </c>
      <c r="I86" s="479" t="s">
        <v>321</v>
      </c>
      <c r="J86" s="479">
        <f t="shared" si="2"/>
        <v>3.1</v>
      </c>
      <c r="K86" s="479"/>
      <c r="L86" s="479"/>
      <c r="M86" s="479"/>
      <c r="N86" s="479"/>
      <c r="O86" s="479"/>
      <c r="P86" s="479"/>
      <c r="Q86" s="471"/>
    </row>
    <row r="87" spans="1:17" ht="12.75">
      <c r="A87" s="478">
        <v>14</v>
      </c>
      <c r="B87" s="479" t="s">
        <v>323</v>
      </c>
      <c r="C87" s="479" t="s">
        <v>334</v>
      </c>
      <c r="D87" s="480">
        <v>38477</v>
      </c>
      <c r="E87" s="479" t="s">
        <v>322</v>
      </c>
      <c r="F87" s="479">
        <v>5.8</v>
      </c>
      <c r="G87" s="479" t="s">
        <v>322</v>
      </c>
      <c r="H87" s="479" t="s">
        <v>322</v>
      </c>
      <c r="I87" s="479" t="s">
        <v>321</v>
      </c>
      <c r="J87" s="479">
        <f t="shared" si="2"/>
        <v>5.8</v>
      </c>
      <c r="K87" s="479"/>
      <c r="L87" s="479"/>
      <c r="M87" s="479"/>
      <c r="N87" s="479"/>
      <c r="O87" s="479"/>
      <c r="P87" s="479"/>
      <c r="Q87" s="471"/>
    </row>
    <row r="88" spans="1:17" ht="12.75">
      <c r="A88" s="478">
        <v>14</v>
      </c>
      <c r="B88" s="479" t="s">
        <v>323</v>
      </c>
      <c r="C88" s="479" t="s">
        <v>334</v>
      </c>
      <c r="D88" s="480">
        <v>38505</v>
      </c>
      <c r="E88" s="479" t="s">
        <v>245</v>
      </c>
      <c r="F88" s="479">
        <v>3</v>
      </c>
      <c r="G88" s="479" t="s">
        <v>322</v>
      </c>
      <c r="H88" s="479" t="s">
        <v>322</v>
      </c>
      <c r="I88" s="479" t="s">
        <v>321</v>
      </c>
      <c r="J88" s="479">
        <f t="shared" si="2"/>
        <v>1.5</v>
      </c>
      <c r="K88" s="479"/>
      <c r="L88" s="479"/>
      <c r="M88" s="479"/>
      <c r="N88" s="479"/>
      <c r="O88" s="479"/>
      <c r="P88" s="479"/>
      <c r="Q88" s="471"/>
    </row>
    <row r="89" spans="1:17" ht="12.75">
      <c r="A89" s="478">
        <v>14</v>
      </c>
      <c r="B89" s="479" t="s">
        <v>323</v>
      </c>
      <c r="C89" s="479" t="s">
        <v>334</v>
      </c>
      <c r="D89" s="480">
        <v>38539</v>
      </c>
      <c r="E89" s="479" t="s">
        <v>322</v>
      </c>
      <c r="F89" s="479">
        <v>5.1</v>
      </c>
      <c r="G89" s="479" t="s">
        <v>322</v>
      </c>
      <c r="H89" s="479" t="s">
        <v>322</v>
      </c>
      <c r="I89" s="479" t="s">
        <v>321</v>
      </c>
      <c r="J89" s="479">
        <f t="shared" si="2"/>
        <v>5.1</v>
      </c>
      <c r="K89" s="479"/>
      <c r="L89" s="479"/>
      <c r="M89" s="479"/>
      <c r="N89" s="479"/>
      <c r="O89" s="479"/>
      <c r="P89" s="479"/>
      <c r="Q89" s="471"/>
    </row>
    <row r="90" spans="1:17" ht="12.75">
      <c r="A90" s="478">
        <v>14</v>
      </c>
      <c r="B90" s="479" t="s">
        <v>323</v>
      </c>
      <c r="C90" s="479" t="s">
        <v>334</v>
      </c>
      <c r="D90" s="480">
        <v>38567</v>
      </c>
      <c r="E90" s="479" t="s">
        <v>245</v>
      </c>
      <c r="F90" s="479">
        <v>3</v>
      </c>
      <c r="G90" s="479" t="s">
        <v>322</v>
      </c>
      <c r="H90" s="479" t="s">
        <v>322</v>
      </c>
      <c r="I90" s="479" t="s">
        <v>321</v>
      </c>
      <c r="J90" s="479">
        <f t="shared" si="2"/>
        <v>1.5</v>
      </c>
      <c r="K90" s="479"/>
      <c r="L90" s="479"/>
      <c r="M90" s="479"/>
      <c r="N90" s="479"/>
      <c r="O90" s="479"/>
      <c r="P90" s="479"/>
      <c r="Q90" s="471"/>
    </row>
    <row r="91" spans="1:17" ht="12.75">
      <c r="A91" s="478">
        <v>14</v>
      </c>
      <c r="B91" s="479" t="s">
        <v>323</v>
      </c>
      <c r="C91" s="479" t="s">
        <v>334</v>
      </c>
      <c r="D91" s="480">
        <v>38637</v>
      </c>
      <c r="E91" s="479" t="s">
        <v>322</v>
      </c>
      <c r="F91" s="479">
        <v>4</v>
      </c>
      <c r="G91" s="479" t="s">
        <v>322</v>
      </c>
      <c r="H91" s="479" t="s">
        <v>322</v>
      </c>
      <c r="I91" s="479" t="s">
        <v>321</v>
      </c>
      <c r="J91" s="479">
        <f t="shared" si="2"/>
        <v>4</v>
      </c>
      <c r="K91" s="479"/>
      <c r="L91" s="479"/>
      <c r="M91" s="479"/>
      <c r="N91" s="479"/>
      <c r="O91" s="479"/>
      <c r="P91" s="479"/>
      <c r="Q91" s="471"/>
    </row>
    <row r="92" spans="1:17" ht="12.75">
      <c r="A92" s="478">
        <v>14</v>
      </c>
      <c r="B92" s="479" t="s">
        <v>323</v>
      </c>
      <c r="C92" s="479" t="s">
        <v>334</v>
      </c>
      <c r="D92" s="480">
        <v>38657</v>
      </c>
      <c r="E92" s="479" t="s">
        <v>322</v>
      </c>
      <c r="F92" s="479">
        <v>3.7</v>
      </c>
      <c r="G92" s="479" t="s">
        <v>322</v>
      </c>
      <c r="H92" s="479" t="s">
        <v>322</v>
      </c>
      <c r="I92" s="479" t="s">
        <v>321</v>
      </c>
      <c r="J92" s="479">
        <f t="shared" si="2"/>
        <v>3.7</v>
      </c>
      <c r="K92" s="479"/>
      <c r="L92" s="479"/>
      <c r="M92" s="479"/>
      <c r="N92" s="479"/>
      <c r="O92" s="479"/>
      <c r="P92" s="479"/>
      <c r="Q92" s="471"/>
    </row>
    <row r="93" spans="1:17" ht="12.75">
      <c r="A93" s="478">
        <v>14</v>
      </c>
      <c r="B93" s="479" t="s">
        <v>323</v>
      </c>
      <c r="C93" s="479" t="s">
        <v>334</v>
      </c>
      <c r="D93" s="480">
        <v>38693</v>
      </c>
      <c r="E93" s="479" t="s">
        <v>322</v>
      </c>
      <c r="F93" s="479">
        <v>3.5</v>
      </c>
      <c r="G93" s="479" t="s">
        <v>322</v>
      </c>
      <c r="H93" s="479" t="s">
        <v>322</v>
      </c>
      <c r="I93" s="479" t="s">
        <v>321</v>
      </c>
      <c r="J93" s="479">
        <f t="shared" si="2"/>
        <v>3.5</v>
      </c>
      <c r="K93" s="479"/>
      <c r="L93" s="479"/>
      <c r="M93" s="479"/>
      <c r="N93" s="479"/>
      <c r="O93" s="479"/>
      <c r="P93" s="479"/>
      <c r="Q93" s="471"/>
    </row>
    <row r="94" spans="1:17" ht="12.75">
      <c r="A94" s="478">
        <v>14</v>
      </c>
      <c r="B94" s="479" t="s">
        <v>323</v>
      </c>
      <c r="C94" s="479" t="s">
        <v>334</v>
      </c>
      <c r="D94" s="480">
        <v>38722</v>
      </c>
      <c r="E94" s="479" t="s">
        <v>245</v>
      </c>
      <c r="F94" s="479">
        <v>3</v>
      </c>
      <c r="G94" s="479" t="s">
        <v>322</v>
      </c>
      <c r="H94" s="479" t="s">
        <v>322</v>
      </c>
      <c r="I94" s="479" t="s">
        <v>321</v>
      </c>
      <c r="J94" s="479">
        <f t="shared" si="2"/>
        <v>1.5</v>
      </c>
      <c r="K94" s="479"/>
      <c r="L94" s="479"/>
      <c r="M94" s="479"/>
      <c r="N94" s="479"/>
      <c r="O94" s="479"/>
      <c r="P94" s="479"/>
      <c r="Q94" s="471"/>
    </row>
    <row r="95" spans="1:17" ht="12.75">
      <c r="A95" s="478">
        <v>14</v>
      </c>
      <c r="B95" s="479" t="s">
        <v>323</v>
      </c>
      <c r="C95" s="479" t="s">
        <v>334</v>
      </c>
      <c r="D95" s="480">
        <v>38750</v>
      </c>
      <c r="E95" s="479" t="s">
        <v>245</v>
      </c>
      <c r="F95" s="479">
        <v>3</v>
      </c>
      <c r="G95" s="479" t="s">
        <v>322</v>
      </c>
      <c r="H95" s="479" t="s">
        <v>322</v>
      </c>
      <c r="I95" s="479" t="s">
        <v>321</v>
      </c>
      <c r="J95" s="479">
        <f t="shared" si="2"/>
        <v>1.5</v>
      </c>
      <c r="K95" s="479"/>
      <c r="L95" s="479"/>
      <c r="M95" s="479"/>
      <c r="N95" s="479"/>
      <c r="O95" s="479"/>
      <c r="P95" s="479"/>
      <c r="Q95" s="471"/>
    </row>
    <row r="96" spans="1:17" ht="12.75">
      <c r="A96" s="478">
        <v>16</v>
      </c>
      <c r="B96" s="479" t="s">
        <v>484</v>
      </c>
      <c r="C96" s="479" t="s">
        <v>260</v>
      </c>
      <c r="D96" s="480">
        <v>37743</v>
      </c>
      <c r="E96" s="479" t="s">
        <v>245</v>
      </c>
      <c r="F96" s="479">
        <v>7.46E-10</v>
      </c>
      <c r="G96" s="479"/>
      <c r="H96" s="479">
        <v>7.46E-06</v>
      </c>
      <c r="I96" s="479" t="s">
        <v>188</v>
      </c>
      <c r="J96" s="479">
        <f t="shared" si="2"/>
        <v>3.73E-10</v>
      </c>
      <c r="K96" s="479">
        <f>COUNT(A96:A100)</f>
        <v>5</v>
      </c>
      <c r="L96" s="479">
        <f>COUNTIF(E96:E100,"=ND")</f>
        <v>1</v>
      </c>
      <c r="M96" s="481">
        <f>L96/K96*100</f>
        <v>20</v>
      </c>
      <c r="N96" s="479" t="str">
        <f>IF(OR(K96&lt;10,M96&gt;=80),"Y","N")</f>
        <v>Y</v>
      </c>
      <c r="O96" s="479" t="s">
        <v>251</v>
      </c>
      <c r="P96" s="479" t="s">
        <v>251</v>
      </c>
      <c r="Q96" s="471" t="s">
        <v>251</v>
      </c>
    </row>
    <row r="97" spans="1:17" ht="12.75">
      <c r="A97" s="478">
        <v>16</v>
      </c>
      <c r="B97" s="479" t="s">
        <v>484</v>
      </c>
      <c r="C97" s="479" t="s">
        <v>260</v>
      </c>
      <c r="D97" s="480">
        <v>37897</v>
      </c>
      <c r="E97" s="479"/>
      <c r="F97" s="479">
        <v>1.48E-09</v>
      </c>
      <c r="G97" s="479"/>
      <c r="H97" s="479"/>
      <c r="I97" s="479" t="s">
        <v>188</v>
      </c>
      <c r="J97" s="479">
        <f t="shared" si="2"/>
        <v>1.48E-09</v>
      </c>
      <c r="K97" s="479"/>
      <c r="L97" s="479"/>
      <c r="M97" s="479"/>
      <c r="N97" s="479"/>
      <c r="O97" s="479"/>
      <c r="P97" s="479"/>
      <c r="Q97" s="471"/>
    </row>
    <row r="98" spans="1:17" ht="12.75">
      <c r="A98" s="478">
        <v>16</v>
      </c>
      <c r="B98" s="479" t="s">
        <v>484</v>
      </c>
      <c r="C98" s="479" t="s">
        <v>260</v>
      </c>
      <c r="D98" s="480">
        <v>38113</v>
      </c>
      <c r="E98" s="479"/>
      <c r="F98" s="479">
        <v>8.69E-10</v>
      </c>
      <c r="G98" s="479"/>
      <c r="H98" s="479"/>
      <c r="I98" s="479" t="s">
        <v>188</v>
      </c>
      <c r="J98" s="479">
        <f t="shared" si="2"/>
        <v>8.69E-10</v>
      </c>
      <c r="K98" s="479"/>
      <c r="L98" s="479"/>
      <c r="M98" s="479"/>
      <c r="N98" s="479"/>
      <c r="O98" s="479"/>
      <c r="P98" s="479"/>
      <c r="Q98" s="471"/>
    </row>
    <row r="99" spans="1:17" ht="12.75">
      <c r="A99" s="478">
        <v>16</v>
      </c>
      <c r="B99" s="479" t="s">
        <v>484</v>
      </c>
      <c r="C99" s="479" t="s">
        <v>260</v>
      </c>
      <c r="D99" s="480">
        <v>38352</v>
      </c>
      <c r="E99" s="479"/>
      <c r="F99" s="479">
        <v>4.1369000000000005E-08</v>
      </c>
      <c r="G99" s="479"/>
      <c r="H99" s="479"/>
      <c r="I99" s="479" t="s">
        <v>188</v>
      </c>
      <c r="J99" s="479">
        <f t="shared" si="2"/>
        <v>4.1369000000000005E-08</v>
      </c>
      <c r="K99" s="479"/>
      <c r="L99" s="479"/>
      <c r="M99" s="479"/>
      <c r="N99" s="479"/>
      <c r="O99" s="479"/>
      <c r="P99" s="479"/>
      <c r="Q99" s="471"/>
    </row>
    <row r="100" spans="1:17" ht="12.75">
      <c r="A100" s="483">
        <v>16</v>
      </c>
      <c r="B100" s="484" t="s">
        <v>484</v>
      </c>
      <c r="C100" s="484" t="s">
        <v>260</v>
      </c>
      <c r="D100" s="485">
        <v>38638</v>
      </c>
      <c r="E100" s="484"/>
      <c r="F100" s="484">
        <v>8.550000000000001E-10</v>
      </c>
      <c r="G100" s="484"/>
      <c r="H100" s="484"/>
      <c r="I100" s="484" t="s">
        <v>188</v>
      </c>
      <c r="J100" s="484">
        <f t="shared" si="2"/>
        <v>8.550000000000001E-10</v>
      </c>
      <c r="K100" s="484"/>
      <c r="L100" s="484"/>
      <c r="M100" s="484"/>
      <c r="N100" s="484"/>
      <c r="O100" s="484"/>
      <c r="P100" s="484"/>
      <c r="Q100" s="486"/>
    </row>
  </sheetData>
  <printOptions/>
  <pageMargins left="0.75" right="0.75" top="1" bottom="1" header="0.5" footer="0.5"/>
  <pageSetup fitToHeight="20" fitToWidth="1" horizontalDpi="300" verticalDpi="300" orientation="landscape" scale="75" r:id="rId1"/>
  <headerFooter alignWithMargins="0">
    <oddHeader>&amp;C&amp;14Coefficient of Variation Calculations for Effluent Data&amp;R&amp;12Rodeo Sanitary District
Tentative Order</oddHeader>
    <oddFooter>&amp;L&amp;F &amp;.xls&amp;  (&amp;A&amp; )&amp;CPage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Indra N. Mitra</dc:creator>
  <cp:keywords/>
  <dc:description/>
  <cp:lastModifiedBy>Staff</cp:lastModifiedBy>
  <cp:lastPrinted>2006-07-11T01:25:39Z</cp:lastPrinted>
  <dcterms:created xsi:type="dcterms:W3CDTF">2002-04-16T15:45:56Z</dcterms:created>
  <dcterms:modified xsi:type="dcterms:W3CDTF">2006-07-11T01:31:21Z</dcterms:modified>
  <cp:category/>
  <cp:version/>
  <cp:contentType/>
  <cp:contentStatus/>
</cp:coreProperties>
</file>